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adb46f231b5d81/Parish Council/Audit/2022/"/>
    </mc:Choice>
  </mc:AlternateContent>
  <xr:revisionPtr revIDLastSave="0" documentId="8_{E6AF4C7F-9AF3-48ED-B61D-11C56C25DCAA}" xr6:coauthVersionLast="47" xr6:coauthVersionMax="47" xr10:uidLastSave="{00000000-0000-0000-0000-000000000000}"/>
  <bookViews>
    <workbookView xWindow="-110" yWindow="-110" windowWidth="19420" windowHeight="10420" xr2:uid="{048FFE80-A851-43ED-84BC-08995D9A5967}"/>
  </bookViews>
  <sheets>
    <sheet name="Budget Vs Actual" sheetId="7" r:id="rId1"/>
    <sheet name="Annual R&amp;P " sheetId="6" r:id="rId2"/>
    <sheet name="Reserves" sheetId="5" r:id="rId3"/>
    <sheet name="Variances" sheetId="4" r:id="rId4"/>
    <sheet name="Bank reconciliation" sheetId="3" r:id="rId5"/>
    <sheet name="Ledger Receipts" sheetId="2" r:id="rId6"/>
    <sheet name="Cash book" sheetId="1" r:id="rId7"/>
  </sheets>
  <externalReferences>
    <externalReference r:id="rId8"/>
  </externalReferences>
  <definedNames>
    <definedName name="_xlnm._FilterDatabase" localSheetId="6" hidden="1">'Cash book'!$A$9:$AC$47</definedName>
    <definedName name="_xlnm.Print_Area" localSheetId="1">'Annual R&amp;P '!$A$1:$F$46</definedName>
    <definedName name="_xlnm.Print_Area" localSheetId="4">'Bank reconciliation'!$A$1:$I$34</definedName>
    <definedName name="_xlnm.Print_Area" localSheetId="0">'Budget Vs Actual'!$A$1:$O$80</definedName>
    <definedName name="_xlnm.Print_Area" localSheetId="6">'Cash book'!$A$150:$AC$191</definedName>
    <definedName name="_xlnm.Print_Area" localSheetId="5">'Ledger Receipts'!$A$1:$M$124</definedName>
    <definedName name="_xlnm.Print_Area" localSheetId="2">Reserves!$A$1:$M$25</definedName>
    <definedName name="_xlnm.Print_Area" localSheetId="3">Variances!$A$1:$M$30</definedName>
    <definedName name="testdata">'[1]Receipts Database'!#REF!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0" i="7" l="1"/>
  <c r="G79" i="7"/>
  <c r="B79" i="7"/>
  <c r="B78" i="7"/>
  <c r="G77" i="7"/>
  <c r="B77" i="7"/>
  <c r="L75" i="7"/>
  <c r="N74" i="7"/>
  <c r="J74" i="7"/>
  <c r="J75" i="7" s="1"/>
  <c r="F74" i="7"/>
  <c r="F75" i="7" s="1"/>
  <c r="N73" i="7"/>
  <c r="O73" i="7" s="1"/>
  <c r="M73" i="7"/>
  <c r="K73" i="7"/>
  <c r="I73" i="7"/>
  <c r="G73" i="7"/>
  <c r="E73" i="7"/>
  <c r="C70" i="7"/>
  <c r="O69" i="7"/>
  <c r="M69" i="7"/>
  <c r="K68" i="7"/>
  <c r="K70" i="7" s="1"/>
  <c r="I68" i="7"/>
  <c r="I70" i="7" s="1"/>
  <c r="G68" i="7"/>
  <c r="G70" i="7" s="1"/>
  <c r="E68" i="7"/>
  <c r="M68" i="7" s="1"/>
  <c r="O68" i="7" s="1"/>
  <c r="O67" i="7"/>
  <c r="M67" i="7"/>
  <c r="M66" i="7"/>
  <c r="O66" i="7" s="1"/>
  <c r="O65" i="7"/>
  <c r="M65" i="7"/>
  <c r="K63" i="7"/>
  <c r="I63" i="7"/>
  <c r="G63" i="7"/>
  <c r="E63" i="7"/>
  <c r="M63" i="7" s="1"/>
  <c r="K62" i="7"/>
  <c r="K64" i="7" s="1"/>
  <c r="I62" i="7"/>
  <c r="I64" i="7" s="1"/>
  <c r="I71" i="7" s="1"/>
  <c r="G62" i="7"/>
  <c r="G64" i="7" s="1"/>
  <c r="E62" i="7"/>
  <c r="M62" i="7" s="1"/>
  <c r="N62" i="7" s="1"/>
  <c r="C62" i="7"/>
  <c r="C64" i="7" s="1"/>
  <c r="P59" i="7"/>
  <c r="H59" i="7"/>
  <c r="H74" i="7" s="1"/>
  <c r="H75" i="7" s="1"/>
  <c r="K58" i="7"/>
  <c r="G58" i="7"/>
  <c r="O57" i="7"/>
  <c r="N57" i="7"/>
  <c r="K57" i="7"/>
  <c r="I57" i="7"/>
  <c r="I58" i="7" s="1"/>
  <c r="G57" i="7"/>
  <c r="E57" i="7"/>
  <c r="E58" i="7" s="1"/>
  <c r="C57" i="7"/>
  <c r="C58" i="7" s="1"/>
  <c r="M56" i="7"/>
  <c r="O56" i="7" s="1"/>
  <c r="I55" i="7"/>
  <c r="H55" i="7"/>
  <c r="K54" i="7"/>
  <c r="I54" i="7"/>
  <c r="G54" i="7"/>
  <c r="M54" i="7" s="1"/>
  <c r="E54" i="7"/>
  <c r="C54" i="7"/>
  <c r="K53" i="7"/>
  <c r="I53" i="7"/>
  <c r="G53" i="7"/>
  <c r="M53" i="7" s="1"/>
  <c r="E53" i="7"/>
  <c r="C53" i="7"/>
  <c r="K52" i="7"/>
  <c r="K55" i="7" s="1"/>
  <c r="I52" i="7"/>
  <c r="G52" i="7"/>
  <c r="G55" i="7" s="1"/>
  <c r="E52" i="7"/>
  <c r="E55" i="7" s="1"/>
  <c r="C52" i="7"/>
  <c r="C55" i="7" s="1"/>
  <c r="M51" i="7"/>
  <c r="O51" i="7" s="1"/>
  <c r="K49" i="7"/>
  <c r="I49" i="7"/>
  <c r="G49" i="7"/>
  <c r="E49" i="7"/>
  <c r="M49" i="7" s="1"/>
  <c r="N49" i="7" s="1"/>
  <c r="C49" i="7"/>
  <c r="O49" i="7" s="1"/>
  <c r="K48" i="7"/>
  <c r="K50" i="7" s="1"/>
  <c r="I48" i="7"/>
  <c r="I50" i="7" s="1"/>
  <c r="G48" i="7"/>
  <c r="G50" i="7" s="1"/>
  <c r="E48" i="7"/>
  <c r="M48" i="7" s="1"/>
  <c r="N48" i="7" s="1"/>
  <c r="C48" i="7"/>
  <c r="M47" i="7"/>
  <c r="O47" i="7" s="1"/>
  <c r="K45" i="7"/>
  <c r="I45" i="7"/>
  <c r="I46" i="7" s="1"/>
  <c r="G45" i="7"/>
  <c r="M45" i="7" s="1"/>
  <c r="N45" i="7" s="1"/>
  <c r="E45" i="7"/>
  <c r="C45" i="7"/>
  <c r="K44" i="7"/>
  <c r="K46" i="7" s="1"/>
  <c r="G44" i="7"/>
  <c r="M44" i="7" s="1"/>
  <c r="N44" i="7" s="1"/>
  <c r="C44" i="7"/>
  <c r="O44" i="7" s="1"/>
  <c r="K43" i="7"/>
  <c r="I43" i="7"/>
  <c r="G43" i="7"/>
  <c r="E43" i="7"/>
  <c r="M43" i="7" s="1"/>
  <c r="N43" i="7" s="1"/>
  <c r="C43" i="7"/>
  <c r="K42" i="7"/>
  <c r="I42" i="7"/>
  <c r="G42" i="7"/>
  <c r="E42" i="7"/>
  <c r="M42" i="7" s="1"/>
  <c r="N42" i="7" s="1"/>
  <c r="C42" i="7"/>
  <c r="O42" i="7" s="1"/>
  <c r="K41" i="7"/>
  <c r="I41" i="7"/>
  <c r="G41" i="7"/>
  <c r="E41" i="7"/>
  <c r="E46" i="7" s="1"/>
  <c r="C41" i="7"/>
  <c r="M40" i="7"/>
  <c r="O40" i="7" s="1"/>
  <c r="K38" i="7"/>
  <c r="K39" i="7" s="1"/>
  <c r="I38" i="7"/>
  <c r="I39" i="7" s="1"/>
  <c r="G38" i="7"/>
  <c r="M38" i="7" s="1"/>
  <c r="N38" i="7" s="1"/>
  <c r="E38" i="7"/>
  <c r="E39" i="7" s="1"/>
  <c r="C38" i="7"/>
  <c r="C39" i="7" s="1"/>
  <c r="M37" i="7"/>
  <c r="O37" i="7" s="1"/>
  <c r="K35" i="7"/>
  <c r="M35" i="7" s="1"/>
  <c r="I35" i="7"/>
  <c r="G35" i="7"/>
  <c r="E35" i="7"/>
  <c r="C35" i="7"/>
  <c r="K34" i="7"/>
  <c r="M34" i="7" s="1"/>
  <c r="I34" i="7"/>
  <c r="G34" i="7"/>
  <c r="E34" i="7"/>
  <c r="C34" i="7"/>
  <c r="K33" i="7"/>
  <c r="M33" i="7" s="1"/>
  <c r="I33" i="7"/>
  <c r="G33" i="7"/>
  <c r="E33" i="7"/>
  <c r="C33" i="7"/>
  <c r="K32" i="7"/>
  <c r="M32" i="7" s="1"/>
  <c r="I32" i="7"/>
  <c r="G32" i="7"/>
  <c r="E32" i="7"/>
  <c r="C32" i="7"/>
  <c r="K31" i="7"/>
  <c r="M31" i="7" s="1"/>
  <c r="I31" i="7"/>
  <c r="I36" i="7" s="1"/>
  <c r="G31" i="7"/>
  <c r="G36" i="7" s="1"/>
  <c r="E31" i="7"/>
  <c r="E36" i="7" s="1"/>
  <c r="C31" i="7"/>
  <c r="C36" i="7" s="1"/>
  <c r="M30" i="7"/>
  <c r="O30" i="7" s="1"/>
  <c r="M28" i="7"/>
  <c r="O28" i="7" s="1"/>
  <c r="K28" i="7"/>
  <c r="I28" i="7"/>
  <c r="E28" i="7"/>
  <c r="K27" i="7"/>
  <c r="I27" i="7"/>
  <c r="M27" i="7" s="1"/>
  <c r="G27" i="7"/>
  <c r="E27" i="7"/>
  <c r="C27" i="7"/>
  <c r="K26" i="7"/>
  <c r="I26" i="7"/>
  <c r="G26" i="7"/>
  <c r="M26" i="7" s="1"/>
  <c r="O26" i="7" s="1"/>
  <c r="E26" i="7"/>
  <c r="K25" i="7"/>
  <c r="I25" i="7"/>
  <c r="G25" i="7"/>
  <c r="E25" i="7"/>
  <c r="M25" i="7" s="1"/>
  <c r="C25" i="7"/>
  <c r="K24" i="7"/>
  <c r="I24" i="7"/>
  <c r="G24" i="7"/>
  <c r="E24" i="7"/>
  <c r="M24" i="7" s="1"/>
  <c r="C24" i="7"/>
  <c r="K23" i="7"/>
  <c r="I23" i="7"/>
  <c r="G23" i="7"/>
  <c r="E23" i="7"/>
  <c r="M23" i="7" s="1"/>
  <c r="C23" i="7"/>
  <c r="K22" i="7"/>
  <c r="I22" i="7"/>
  <c r="G22" i="7"/>
  <c r="E22" i="7"/>
  <c r="M22" i="7" s="1"/>
  <c r="C22" i="7"/>
  <c r="K21" i="7"/>
  <c r="I21" i="7"/>
  <c r="E21" i="7"/>
  <c r="M21" i="7" s="1"/>
  <c r="N21" i="7" s="1"/>
  <c r="C21" i="7"/>
  <c r="K20" i="7"/>
  <c r="I20" i="7"/>
  <c r="G20" i="7"/>
  <c r="E20" i="7"/>
  <c r="M20" i="7" s="1"/>
  <c r="N20" i="7" s="1"/>
  <c r="C20" i="7"/>
  <c r="O20" i="7" s="1"/>
  <c r="K19" i="7"/>
  <c r="I19" i="7"/>
  <c r="G19" i="7"/>
  <c r="E19" i="7"/>
  <c r="M19" i="7" s="1"/>
  <c r="N19" i="7" s="1"/>
  <c r="C19" i="7"/>
  <c r="K18" i="7"/>
  <c r="I18" i="7"/>
  <c r="G18" i="7"/>
  <c r="E18" i="7"/>
  <c r="M18" i="7" s="1"/>
  <c r="N18" i="7" s="1"/>
  <c r="C18" i="7"/>
  <c r="O18" i="7" s="1"/>
  <c r="K17" i="7"/>
  <c r="G17" i="7"/>
  <c r="E17" i="7"/>
  <c r="M17" i="7" s="1"/>
  <c r="N17" i="7" s="1"/>
  <c r="C17" i="7"/>
  <c r="O17" i="7" s="1"/>
  <c r="O16" i="7"/>
  <c r="M16" i="7"/>
  <c r="N16" i="7" s="1"/>
  <c r="I16" i="7"/>
  <c r="G16" i="7"/>
  <c r="E16" i="7"/>
  <c r="C16" i="7"/>
  <c r="K15" i="7"/>
  <c r="I15" i="7"/>
  <c r="G15" i="7"/>
  <c r="E15" i="7"/>
  <c r="M15" i="7" s="1"/>
  <c r="C15" i="7"/>
  <c r="K14" i="7"/>
  <c r="I14" i="7"/>
  <c r="G14" i="7"/>
  <c r="E14" i="7"/>
  <c r="M14" i="7" s="1"/>
  <c r="C14" i="7"/>
  <c r="K13" i="7"/>
  <c r="I13" i="7"/>
  <c r="G13" i="7"/>
  <c r="E13" i="7"/>
  <c r="M13" i="7" s="1"/>
  <c r="C13" i="7"/>
  <c r="K12" i="7"/>
  <c r="K29" i="7" s="1"/>
  <c r="I12" i="7"/>
  <c r="I29" i="7" s="1"/>
  <c r="G12" i="7"/>
  <c r="G29" i="7" s="1"/>
  <c r="E12" i="7"/>
  <c r="M12" i="7" s="1"/>
  <c r="C12" i="7"/>
  <c r="C29" i="7" s="1"/>
  <c r="M11" i="7"/>
  <c r="O11" i="7" s="1"/>
  <c r="I10" i="7"/>
  <c r="G10" i="7"/>
  <c r="E10" i="7"/>
  <c r="M10" i="7" s="1"/>
  <c r="N10" i="7" s="1"/>
  <c r="C10" i="7"/>
  <c r="K9" i="7"/>
  <c r="I9" i="7"/>
  <c r="G9" i="7"/>
  <c r="E9" i="7"/>
  <c r="M9" i="7" s="1"/>
  <c r="O9" i="7" s="1"/>
  <c r="K8" i="7"/>
  <c r="I8" i="7"/>
  <c r="G8" i="7"/>
  <c r="E8" i="7"/>
  <c r="M8" i="7" s="1"/>
  <c r="C8" i="7"/>
  <c r="K7" i="7"/>
  <c r="K10" i="7" s="1"/>
  <c r="I7" i="7"/>
  <c r="G7" i="7"/>
  <c r="E7" i="7"/>
  <c r="M7" i="7" s="1"/>
  <c r="C7" i="7"/>
  <c r="D44" i="6"/>
  <c r="D43" i="6"/>
  <c r="D42" i="6"/>
  <c r="D41" i="6"/>
  <c r="D40" i="6"/>
  <c r="E46" i="6" s="1"/>
  <c r="G37" i="6"/>
  <c r="G38" i="6" s="1"/>
  <c r="C32" i="6"/>
  <c r="F32" i="6" s="1"/>
  <c r="B26" i="6"/>
  <c r="B25" i="6"/>
  <c r="B24" i="6"/>
  <c r="B23" i="6"/>
  <c r="D23" i="6" s="1"/>
  <c r="D22" i="6"/>
  <c r="B22" i="6"/>
  <c r="D21" i="6"/>
  <c r="B21" i="6"/>
  <c r="D20" i="6"/>
  <c r="B20" i="6"/>
  <c r="C19" i="6"/>
  <c r="C28" i="6" s="1"/>
  <c r="B19" i="6"/>
  <c r="D19" i="6" s="1"/>
  <c r="B18" i="6"/>
  <c r="D18" i="6" s="1"/>
  <c r="B17" i="6"/>
  <c r="D17" i="6" s="1"/>
  <c r="D16" i="6"/>
  <c r="B16" i="6"/>
  <c r="C13" i="6"/>
  <c r="B11" i="6"/>
  <c r="B10" i="6"/>
  <c r="B9" i="6"/>
  <c r="B8" i="6"/>
  <c r="C33" i="6" s="1"/>
  <c r="B7" i="6"/>
  <c r="D7" i="6" s="1"/>
  <c r="E13" i="5"/>
  <c r="F15" i="5" s="1"/>
  <c r="E11" i="5"/>
  <c r="J30" i="4"/>
  <c r="I30" i="4"/>
  <c r="H30" i="4"/>
  <c r="L30" i="4" s="1"/>
  <c r="M30" i="4" s="1"/>
  <c r="G30" i="4"/>
  <c r="J28" i="4"/>
  <c r="I28" i="4"/>
  <c r="H28" i="4"/>
  <c r="K28" i="4" s="1"/>
  <c r="G28" i="4"/>
  <c r="F23" i="4"/>
  <c r="M24" i="4" s="1"/>
  <c r="D23" i="4"/>
  <c r="I21" i="4"/>
  <c r="F21" i="4"/>
  <c r="J21" i="4" s="1"/>
  <c r="J19" i="4"/>
  <c r="I19" i="4"/>
  <c r="H19" i="4"/>
  <c r="L19" i="4" s="1"/>
  <c r="G19" i="4"/>
  <c r="F17" i="4"/>
  <c r="J17" i="4" s="1"/>
  <c r="J15" i="4"/>
  <c r="I15" i="4"/>
  <c r="F15" i="4"/>
  <c r="H15" i="4" s="1"/>
  <c r="J13" i="4"/>
  <c r="I13" i="4"/>
  <c r="F13" i="4"/>
  <c r="H13" i="4" s="1"/>
  <c r="K12" i="4"/>
  <c r="J12" i="4"/>
  <c r="I12" i="4"/>
  <c r="M11" i="4"/>
  <c r="I11" i="4"/>
  <c r="H11" i="4"/>
  <c r="L11" i="4" s="1"/>
  <c r="F11" i="4"/>
  <c r="J11" i="4" s="1"/>
  <c r="G30" i="3"/>
  <c r="G25" i="3"/>
  <c r="F18" i="3"/>
  <c r="F17" i="3"/>
  <c r="G19" i="3" s="1"/>
  <c r="G32" i="3" s="1"/>
  <c r="G122" i="2"/>
  <c r="H121" i="2"/>
  <c r="F121" i="2"/>
  <c r="E121" i="2"/>
  <c r="F120" i="2"/>
  <c r="D120" i="2"/>
  <c r="E119" i="2"/>
  <c r="D119" i="2"/>
  <c r="I115" i="2"/>
  <c r="M107" i="2"/>
  <c r="L105" i="2"/>
  <c r="J105" i="2"/>
  <c r="I105" i="2"/>
  <c r="H105" i="2"/>
  <c r="H122" i="2" s="1"/>
  <c r="G105" i="2"/>
  <c r="F105" i="2"/>
  <c r="F122" i="2" s="1"/>
  <c r="E105" i="2"/>
  <c r="E122" i="2" s="1"/>
  <c r="D105" i="2"/>
  <c r="D122" i="2" s="1"/>
  <c r="I122" i="2" s="1"/>
  <c r="M104" i="2"/>
  <c r="M103" i="2"/>
  <c r="M102" i="2"/>
  <c r="M101" i="2"/>
  <c r="M100" i="2"/>
  <c r="M99" i="2"/>
  <c r="M98" i="2"/>
  <c r="M97" i="2"/>
  <c r="M96" i="2"/>
  <c r="M95" i="2"/>
  <c r="M94" i="2"/>
  <c r="M93" i="2"/>
  <c r="I87" i="2"/>
  <c r="M79" i="2"/>
  <c r="L77" i="2"/>
  <c r="J77" i="2"/>
  <c r="I77" i="2"/>
  <c r="H77" i="2"/>
  <c r="G77" i="2"/>
  <c r="G121" i="2" s="1"/>
  <c r="F77" i="2"/>
  <c r="E77" i="2"/>
  <c r="D77" i="2"/>
  <c r="D121" i="2" s="1"/>
  <c r="I121" i="2" s="1"/>
  <c r="M76" i="2"/>
  <c r="M75" i="2"/>
  <c r="M74" i="2"/>
  <c r="M73" i="2"/>
  <c r="M72" i="2"/>
  <c r="M71" i="2"/>
  <c r="M70" i="2"/>
  <c r="M69" i="2"/>
  <c r="M68" i="2"/>
  <c r="M67" i="2"/>
  <c r="M66" i="2"/>
  <c r="I61" i="2"/>
  <c r="M52" i="2"/>
  <c r="L50" i="2"/>
  <c r="J50" i="2"/>
  <c r="I50" i="2"/>
  <c r="H50" i="2"/>
  <c r="H120" i="2" s="1"/>
  <c r="G50" i="2"/>
  <c r="G120" i="2" s="1"/>
  <c r="F50" i="2"/>
  <c r="E50" i="2"/>
  <c r="E120" i="2" s="1"/>
  <c r="D50" i="2"/>
  <c r="F52" i="2" s="1"/>
  <c r="M49" i="2"/>
  <c r="M48" i="2"/>
  <c r="M47" i="2"/>
  <c r="M46" i="2"/>
  <c r="M45" i="2"/>
  <c r="M44" i="2"/>
  <c r="M43" i="2"/>
  <c r="M42" i="2"/>
  <c r="M41" i="2"/>
  <c r="M40" i="2"/>
  <c r="M39" i="2"/>
  <c r="M38" i="2"/>
  <c r="I32" i="2"/>
  <c r="M23" i="2"/>
  <c r="L21" i="2"/>
  <c r="J21" i="2"/>
  <c r="I21" i="2"/>
  <c r="H21" i="2"/>
  <c r="H119" i="2" s="1"/>
  <c r="G21" i="2"/>
  <c r="G119" i="2" s="1"/>
  <c r="F21" i="2"/>
  <c r="F119" i="2" s="1"/>
  <c r="E21" i="2"/>
  <c r="D21" i="2"/>
  <c r="F23" i="2" s="1"/>
  <c r="F24" i="2" s="1"/>
  <c r="M20" i="2"/>
  <c r="M19" i="2"/>
  <c r="M18" i="2"/>
  <c r="M17" i="2"/>
  <c r="M16" i="2"/>
  <c r="M15" i="2"/>
  <c r="M14" i="2"/>
  <c r="M13" i="2"/>
  <c r="M12" i="2"/>
  <c r="M21" i="2" s="1"/>
  <c r="M24" i="2" s="1"/>
  <c r="M11" i="2"/>
  <c r="M10" i="2"/>
  <c r="M9" i="2"/>
  <c r="M8" i="2"/>
  <c r="AC190" i="1"/>
  <c r="AC189" i="1"/>
  <c r="AB188" i="1"/>
  <c r="AA188" i="1"/>
  <c r="Z188" i="1"/>
  <c r="Y188" i="1"/>
  <c r="X188" i="1"/>
  <c r="W188" i="1"/>
  <c r="V188" i="1"/>
  <c r="M188" i="1"/>
  <c r="AB186" i="1"/>
  <c r="AB187" i="1" s="1"/>
  <c r="AA186" i="1"/>
  <c r="AA187" i="1" s="1"/>
  <c r="Z186" i="1"/>
  <c r="Z187" i="1" s="1"/>
  <c r="Y186" i="1"/>
  <c r="Y187" i="1" s="1"/>
  <c r="X186" i="1"/>
  <c r="W186" i="1"/>
  <c r="V186" i="1"/>
  <c r="U186" i="1"/>
  <c r="T186" i="1"/>
  <c r="S186" i="1"/>
  <c r="S187" i="1" s="1"/>
  <c r="R186" i="1"/>
  <c r="R187" i="1" s="1"/>
  <c r="Q186" i="1"/>
  <c r="Q187" i="1" s="1"/>
  <c r="P186" i="1"/>
  <c r="P187" i="1" s="1"/>
  <c r="O186" i="1"/>
  <c r="N186" i="1"/>
  <c r="M186" i="1"/>
  <c r="L186" i="1"/>
  <c r="L187" i="1" s="1"/>
  <c r="I186" i="1"/>
  <c r="H186" i="1"/>
  <c r="AC185" i="1"/>
  <c r="J185" i="1"/>
  <c r="AC184" i="1"/>
  <c r="J184" i="1"/>
  <c r="AC183" i="1"/>
  <c r="J183" i="1"/>
  <c r="AC182" i="1"/>
  <c r="J182" i="1"/>
  <c r="AC181" i="1"/>
  <c r="J181" i="1"/>
  <c r="AC180" i="1"/>
  <c r="J180" i="1"/>
  <c r="AC179" i="1"/>
  <c r="J179" i="1"/>
  <c r="AC178" i="1"/>
  <c r="J178" i="1"/>
  <c r="AC177" i="1"/>
  <c r="J177" i="1"/>
  <c r="AC176" i="1"/>
  <c r="J176" i="1"/>
  <c r="AC175" i="1"/>
  <c r="AC174" i="1"/>
  <c r="J174" i="1"/>
  <c r="AC173" i="1"/>
  <c r="J173" i="1"/>
  <c r="AC172" i="1"/>
  <c r="J172" i="1"/>
  <c r="AC171" i="1"/>
  <c r="J171" i="1"/>
  <c r="AC170" i="1"/>
  <c r="J170" i="1"/>
  <c r="AC169" i="1"/>
  <c r="J169" i="1"/>
  <c r="AC168" i="1"/>
  <c r="J168" i="1"/>
  <c r="AC167" i="1"/>
  <c r="J167" i="1"/>
  <c r="AC166" i="1"/>
  <c r="AC165" i="1"/>
  <c r="J165" i="1"/>
  <c r="AC164" i="1"/>
  <c r="J164" i="1"/>
  <c r="AC163" i="1"/>
  <c r="J163" i="1"/>
  <c r="AC162" i="1"/>
  <c r="J162" i="1"/>
  <c r="AC161" i="1"/>
  <c r="J161" i="1"/>
  <c r="AC160" i="1"/>
  <c r="J160" i="1"/>
  <c r="AC159" i="1"/>
  <c r="J159" i="1"/>
  <c r="AC158" i="1"/>
  <c r="J158" i="1"/>
  <c r="AC157" i="1"/>
  <c r="J157" i="1"/>
  <c r="AC156" i="1"/>
  <c r="J156" i="1"/>
  <c r="AC155" i="1"/>
  <c r="J155" i="1"/>
  <c r="AC154" i="1"/>
  <c r="J154" i="1"/>
  <c r="AC153" i="1"/>
  <c r="J153" i="1"/>
  <c r="J186" i="1" s="1"/>
  <c r="AC152" i="1"/>
  <c r="AC151" i="1"/>
  <c r="AB150" i="1"/>
  <c r="AA150" i="1"/>
  <c r="Z150" i="1"/>
  <c r="Y150" i="1"/>
  <c r="X150" i="1"/>
  <c r="W150" i="1"/>
  <c r="V150" i="1"/>
  <c r="M150" i="1"/>
  <c r="AC149" i="1"/>
  <c r="AC147" i="1"/>
  <c r="AB146" i="1"/>
  <c r="AA146" i="1"/>
  <c r="Z146" i="1"/>
  <c r="Y146" i="1"/>
  <c r="X146" i="1"/>
  <c r="X187" i="1" s="1"/>
  <c r="W146" i="1"/>
  <c r="V146" i="1"/>
  <c r="V187" i="1" s="1"/>
  <c r="U146" i="1"/>
  <c r="U187" i="1" s="1"/>
  <c r="T146" i="1"/>
  <c r="S146" i="1"/>
  <c r="R146" i="1"/>
  <c r="Q146" i="1"/>
  <c r="P146" i="1"/>
  <c r="O146" i="1"/>
  <c r="N146" i="1"/>
  <c r="M146" i="1"/>
  <c r="L146" i="1"/>
  <c r="AC146" i="1" s="1"/>
  <c r="AC145" i="1"/>
  <c r="J145" i="1"/>
  <c r="AC144" i="1"/>
  <c r="J144" i="1"/>
  <c r="AC143" i="1"/>
  <c r="J143" i="1"/>
  <c r="AC142" i="1"/>
  <c r="J142" i="1"/>
  <c r="AC141" i="1"/>
  <c r="J141" i="1"/>
  <c r="AC140" i="1"/>
  <c r="J140" i="1"/>
  <c r="AC139" i="1"/>
  <c r="J139" i="1"/>
  <c r="AC138" i="1"/>
  <c r="J138" i="1"/>
  <c r="AC137" i="1"/>
  <c r="J137" i="1"/>
  <c r="AC136" i="1"/>
  <c r="J136" i="1"/>
  <c r="AC135" i="1"/>
  <c r="J135" i="1"/>
  <c r="AC134" i="1"/>
  <c r="J134" i="1"/>
  <c r="AC133" i="1"/>
  <c r="J133" i="1"/>
  <c r="AC132" i="1"/>
  <c r="J132" i="1"/>
  <c r="AC131" i="1"/>
  <c r="J131" i="1"/>
  <c r="AC130" i="1"/>
  <c r="J130" i="1"/>
  <c r="AC129" i="1"/>
  <c r="AC128" i="1"/>
  <c r="J128" i="1"/>
  <c r="AC127" i="1"/>
  <c r="J127" i="1"/>
  <c r="AC126" i="1"/>
  <c r="J126" i="1"/>
  <c r="AC125" i="1"/>
  <c r="J125" i="1"/>
  <c r="AC124" i="1"/>
  <c r="J124" i="1"/>
  <c r="AC123" i="1"/>
  <c r="J123" i="1"/>
  <c r="AC122" i="1"/>
  <c r="J122" i="1"/>
  <c r="AC121" i="1"/>
  <c r="J121" i="1"/>
  <c r="AC120" i="1"/>
  <c r="J120" i="1"/>
  <c r="AC119" i="1"/>
  <c r="J119" i="1"/>
  <c r="AC118" i="1"/>
  <c r="J118" i="1"/>
  <c r="AC117" i="1"/>
  <c r="J117" i="1"/>
  <c r="AC116" i="1"/>
  <c r="J116" i="1"/>
  <c r="S115" i="1"/>
  <c r="AC115" i="1" s="1"/>
  <c r="J115" i="1"/>
  <c r="I115" i="1"/>
  <c r="I146" i="1" s="1"/>
  <c r="H115" i="1"/>
  <c r="H146" i="1" s="1"/>
  <c r="J146" i="1" s="1"/>
  <c r="AC114" i="1"/>
  <c r="AC113" i="1"/>
  <c r="J113" i="1"/>
  <c r="AC112" i="1"/>
  <c r="J112" i="1"/>
  <c r="AC111" i="1"/>
  <c r="J111" i="1"/>
  <c r="AC110" i="1"/>
  <c r="J110" i="1"/>
  <c r="AC109" i="1"/>
  <c r="J109" i="1"/>
  <c r="AC108" i="1"/>
  <c r="J108" i="1"/>
  <c r="AC107" i="1"/>
  <c r="J107" i="1"/>
  <c r="AC106" i="1"/>
  <c r="J106" i="1"/>
  <c r="AC105" i="1"/>
  <c r="J105" i="1"/>
  <c r="AC104" i="1"/>
  <c r="J104" i="1"/>
  <c r="AC103" i="1"/>
  <c r="J103" i="1"/>
  <c r="AC102" i="1"/>
  <c r="J102" i="1"/>
  <c r="AC101" i="1"/>
  <c r="J101" i="1"/>
  <c r="AC100" i="1"/>
  <c r="J100" i="1"/>
  <c r="AC99" i="1"/>
  <c r="J99" i="1"/>
  <c r="AC98" i="1"/>
  <c r="J98" i="1"/>
  <c r="AC97" i="1"/>
  <c r="J97" i="1"/>
  <c r="AC96" i="1"/>
  <c r="J96" i="1"/>
  <c r="AC95" i="1"/>
  <c r="J95" i="1"/>
  <c r="AC94" i="1"/>
  <c r="J94" i="1"/>
  <c r="AC93" i="1"/>
  <c r="J93" i="1"/>
  <c r="AC92" i="1"/>
  <c r="J92" i="1"/>
  <c r="AC91" i="1"/>
  <c r="J91" i="1"/>
  <c r="AC90" i="1"/>
  <c r="J90" i="1"/>
  <c r="AC89" i="1"/>
  <c r="AB88" i="1"/>
  <c r="AA88" i="1"/>
  <c r="Z88" i="1"/>
  <c r="Y88" i="1"/>
  <c r="X88" i="1"/>
  <c r="W88" i="1"/>
  <c r="V88" i="1"/>
  <c r="U88" i="1"/>
  <c r="Q88" i="1"/>
  <c r="M88" i="1"/>
  <c r="AB87" i="1"/>
  <c r="AB148" i="1" s="1"/>
  <c r="AB191" i="1" s="1"/>
  <c r="AA87" i="1"/>
  <c r="AA148" i="1" s="1"/>
  <c r="AA191" i="1" s="1"/>
  <c r="W87" i="1"/>
  <c r="W148" i="1" s="1"/>
  <c r="W191" i="1" s="1"/>
  <c r="V87" i="1"/>
  <c r="V148" i="1" s="1"/>
  <c r="V191" i="1" s="1"/>
  <c r="S87" i="1"/>
  <c r="S148" i="1" s="1"/>
  <c r="S191" i="1" s="1"/>
  <c r="O87" i="1"/>
  <c r="O148" i="1" s="1"/>
  <c r="O191" i="1" s="1"/>
  <c r="L87" i="1"/>
  <c r="AC86" i="1"/>
  <c r="AB85" i="1"/>
  <c r="AA85" i="1"/>
  <c r="Z85" i="1"/>
  <c r="Y85" i="1"/>
  <c r="X85" i="1"/>
  <c r="W85" i="1"/>
  <c r="V85" i="1"/>
  <c r="U85" i="1"/>
  <c r="S85" i="1"/>
  <c r="R85" i="1"/>
  <c r="Q85" i="1"/>
  <c r="P85" i="1"/>
  <c r="O85" i="1"/>
  <c r="M85" i="1"/>
  <c r="L85" i="1"/>
  <c r="H85" i="1"/>
  <c r="J84" i="1"/>
  <c r="AC83" i="1"/>
  <c r="J83" i="1"/>
  <c r="AC82" i="1"/>
  <c r="J82" i="1"/>
  <c r="AC81" i="1"/>
  <c r="J81" i="1"/>
  <c r="AC80" i="1"/>
  <c r="J80" i="1"/>
  <c r="AC79" i="1"/>
  <c r="J79" i="1"/>
  <c r="AC78" i="1"/>
  <c r="T78" i="1"/>
  <c r="I78" i="1"/>
  <c r="H78" i="1"/>
  <c r="J78" i="1" s="1"/>
  <c r="AC77" i="1"/>
  <c r="J77" i="1"/>
  <c r="AC76" i="1"/>
  <c r="J76" i="1"/>
  <c r="T75" i="1"/>
  <c r="T85" i="1" s="1"/>
  <c r="T87" i="1" s="1"/>
  <c r="T148" i="1" s="1"/>
  <c r="T191" i="1" s="1"/>
  <c r="J75" i="1"/>
  <c r="I75" i="1"/>
  <c r="I85" i="1" s="1"/>
  <c r="H75" i="1"/>
  <c r="AC74" i="1"/>
  <c r="J74" i="1"/>
  <c r="AC73" i="1"/>
  <c r="J73" i="1"/>
  <c r="AC72" i="1"/>
  <c r="J72" i="1"/>
  <c r="AC71" i="1"/>
  <c r="J71" i="1"/>
  <c r="AC70" i="1"/>
  <c r="J70" i="1"/>
  <c r="AC69" i="1"/>
  <c r="J69" i="1"/>
  <c r="AC68" i="1"/>
  <c r="J68" i="1"/>
  <c r="AC67" i="1"/>
  <c r="J67" i="1"/>
  <c r="AC66" i="1"/>
  <c r="J66" i="1"/>
  <c r="AC65" i="1"/>
  <c r="J65" i="1"/>
  <c r="AC64" i="1"/>
  <c r="J64" i="1"/>
  <c r="AC63" i="1"/>
  <c r="J63" i="1"/>
  <c r="J62" i="1"/>
  <c r="AC61" i="1"/>
  <c r="J61" i="1"/>
  <c r="AC60" i="1"/>
  <c r="J60" i="1"/>
  <c r="N59" i="1"/>
  <c r="AC59" i="1" s="1"/>
  <c r="AC58" i="1"/>
  <c r="J58" i="1"/>
  <c r="AC57" i="1"/>
  <c r="J57" i="1"/>
  <c r="AC56" i="1"/>
  <c r="J56" i="1"/>
  <c r="AC55" i="1"/>
  <c r="J55" i="1"/>
  <c r="AC54" i="1"/>
  <c r="AC53" i="1"/>
  <c r="J53" i="1"/>
  <c r="AC52" i="1"/>
  <c r="J52" i="1"/>
  <c r="AC51" i="1"/>
  <c r="AC50" i="1"/>
  <c r="AB49" i="1"/>
  <c r="AA49" i="1"/>
  <c r="Z49" i="1"/>
  <c r="Y49" i="1"/>
  <c r="X49" i="1"/>
  <c r="W49" i="1"/>
  <c r="V49" i="1"/>
  <c r="O49" i="1"/>
  <c r="N49" i="1"/>
  <c r="M49" i="1"/>
  <c r="AC48" i="1"/>
  <c r="AB47" i="1"/>
  <c r="AA47" i="1"/>
  <c r="Z47" i="1"/>
  <c r="Z87" i="1" s="1"/>
  <c r="Z148" i="1" s="1"/>
  <c r="Z191" i="1" s="1"/>
  <c r="Y47" i="1"/>
  <c r="Y87" i="1" s="1"/>
  <c r="Y148" i="1" s="1"/>
  <c r="Y191" i="1" s="1"/>
  <c r="X47" i="1"/>
  <c r="X87" i="1" s="1"/>
  <c r="X148" i="1" s="1"/>
  <c r="X191" i="1" s="1"/>
  <c r="W47" i="1"/>
  <c r="W187" i="1" s="1"/>
  <c r="V47" i="1"/>
  <c r="U47" i="1"/>
  <c r="U87" i="1" s="1"/>
  <c r="U148" i="1" s="1"/>
  <c r="U191" i="1" s="1"/>
  <c r="T47" i="1"/>
  <c r="S47" i="1"/>
  <c r="R47" i="1"/>
  <c r="R87" i="1" s="1"/>
  <c r="R148" i="1" s="1"/>
  <c r="R191" i="1" s="1"/>
  <c r="Q47" i="1"/>
  <c r="Q87" i="1" s="1"/>
  <c r="Q148" i="1" s="1"/>
  <c r="Q191" i="1" s="1"/>
  <c r="P47" i="1"/>
  <c r="P87" i="1" s="1"/>
  <c r="P148" i="1" s="1"/>
  <c r="P191" i="1" s="1"/>
  <c r="O47" i="1"/>
  <c r="O187" i="1" s="1"/>
  <c r="L47" i="1"/>
  <c r="K47" i="1"/>
  <c r="K187" i="1" s="1"/>
  <c r="I47" i="1"/>
  <c r="I87" i="1" s="1"/>
  <c r="I148" i="1" s="1"/>
  <c r="AC46" i="1"/>
  <c r="J46" i="1"/>
  <c r="AC45" i="1"/>
  <c r="J45" i="1"/>
  <c r="AC44" i="1"/>
  <c r="J44" i="1"/>
  <c r="AC43" i="1"/>
  <c r="J43" i="1"/>
  <c r="AC42" i="1"/>
  <c r="J42" i="1"/>
  <c r="AC41" i="1"/>
  <c r="J41" i="1"/>
  <c r="AC40" i="1"/>
  <c r="J40" i="1"/>
  <c r="AC39" i="1"/>
  <c r="J39" i="1"/>
  <c r="AC38" i="1"/>
  <c r="J38" i="1"/>
  <c r="AC37" i="1"/>
  <c r="J37" i="1"/>
  <c r="AC36" i="1"/>
  <c r="J36" i="1"/>
  <c r="AC35" i="1"/>
  <c r="J35" i="1"/>
  <c r="AC34" i="1"/>
  <c r="J34" i="1"/>
  <c r="AC33" i="1"/>
  <c r="N33" i="1"/>
  <c r="J33" i="1"/>
  <c r="N32" i="1"/>
  <c r="AC32" i="1" s="1"/>
  <c r="AC31" i="1"/>
  <c r="J31" i="1"/>
  <c r="AC30" i="1"/>
  <c r="J30" i="1"/>
  <c r="AC29" i="1"/>
  <c r="J29" i="1"/>
  <c r="AC28" i="1"/>
  <c r="J28" i="1"/>
  <c r="AC27" i="1"/>
  <c r="J27" i="1"/>
  <c r="AC26" i="1"/>
  <c r="J26" i="1"/>
  <c r="M25" i="1"/>
  <c r="AC25" i="1" s="1"/>
  <c r="J25" i="1"/>
  <c r="AC24" i="1"/>
  <c r="J24" i="1"/>
  <c r="AC23" i="1"/>
  <c r="J23" i="1"/>
  <c r="AC22" i="1"/>
  <c r="J22" i="1"/>
  <c r="AC21" i="1"/>
  <c r="J21" i="1"/>
  <c r="AC20" i="1"/>
  <c r="J20" i="1"/>
  <c r="AC19" i="1"/>
  <c r="J19" i="1"/>
  <c r="AC18" i="1"/>
  <c r="J18" i="1"/>
  <c r="AC17" i="1"/>
  <c r="J17" i="1"/>
  <c r="AC16" i="1"/>
  <c r="U16" i="1"/>
  <c r="H16" i="1"/>
  <c r="J16" i="1" s="1"/>
  <c r="AC15" i="1"/>
  <c r="J15" i="1"/>
  <c r="M14" i="1"/>
  <c r="J14" i="1" s="1"/>
  <c r="AC13" i="1"/>
  <c r="J13" i="1"/>
  <c r="AC12" i="1"/>
  <c r="J12" i="1"/>
  <c r="M11" i="1"/>
  <c r="AC11" i="1" s="1"/>
  <c r="J11" i="1"/>
  <c r="H11" i="1"/>
  <c r="H47" i="1" s="1"/>
  <c r="H87" i="1" s="1"/>
  <c r="AC10" i="1"/>
  <c r="J10" i="1"/>
  <c r="M9" i="1"/>
  <c r="U7" i="1"/>
  <c r="U49" i="1" s="1"/>
  <c r="T7" i="1"/>
  <c r="T188" i="1" s="1"/>
  <c r="S7" i="1"/>
  <c r="S150" i="1" s="1"/>
  <c r="R7" i="1"/>
  <c r="R150" i="1" s="1"/>
  <c r="Q7" i="1"/>
  <c r="Q150" i="1" s="1"/>
  <c r="P7" i="1"/>
  <c r="P49" i="1" s="1"/>
  <c r="O7" i="1"/>
  <c r="O150" i="1" s="1"/>
  <c r="N7" i="1"/>
  <c r="N150" i="1" s="1"/>
  <c r="L7" i="1"/>
  <c r="L188" i="1" s="1"/>
  <c r="I4" i="1"/>
  <c r="H4" i="1"/>
  <c r="D4" i="1"/>
  <c r="J3" i="1"/>
  <c r="H3" i="1"/>
  <c r="J2" i="1"/>
  <c r="I2" i="1"/>
  <c r="D2" i="1"/>
  <c r="O29" i="7" l="1"/>
  <c r="O15" i="7"/>
  <c r="N15" i="7"/>
  <c r="K59" i="7"/>
  <c r="N63" i="7"/>
  <c r="O63" i="7"/>
  <c r="O12" i="7"/>
  <c r="N12" i="7"/>
  <c r="O25" i="7"/>
  <c r="N25" i="7"/>
  <c r="O33" i="7"/>
  <c r="N33" i="7"/>
  <c r="M58" i="7"/>
  <c r="O22" i="7"/>
  <c r="N22" i="7"/>
  <c r="O54" i="7"/>
  <c r="N54" i="7"/>
  <c r="O58" i="7"/>
  <c r="C59" i="7"/>
  <c r="O8" i="7"/>
  <c r="N8" i="7"/>
  <c r="O10" i="7"/>
  <c r="O14" i="7"/>
  <c r="N14" i="7"/>
  <c r="O19" i="7"/>
  <c r="O35" i="7"/>
  <c r="N35" i="7"/>
  <c r="O48" i="7"/>
  <c r="I59" i="7"/>
  <c r="C71" i="7"/>
  <c r="O24" i="7"/>
  <c r="N24" i="7"/>
  <c r="N27" i="7"/>
  <c r="O27" i="7"/>
  <c r="O32" i="7"/>
  <c r="N32" i="7"/>
  <c r="O21" i="7"/>
  <c r="O43" i="7"/>
  <c r="O45" i="7"/>
  <c r="N53" i="7"/>
  <c r="O53" i="7"/>
  <c r="G71" i="7"/>
  <c r="O7" i="7"/>
  <c r="N7" i="7"/>
  <c r="O13" i="7"/>
  <c r="N13" i="7"/>
  <c r="O34" i="7"/>
  <c r="N34" i="7"/>
  <c r="O55" i="7"/>
  <c r="I74" i="7"/>
  <c r="I75" i="7" s="1"/>
  <c r="O23" i="7"/>
  <c r="N23" i="7"/>
  <c r="O31" i="7"/>
  <c r="N31" i="7"/>
  <c r="M55" i="7"/>
  <c r="N55" i="7" s="1"/>
  <c r="K71" i="7"/>
  <c r="C50" i="7"/>
  <c r="E50" i="7"/>
  <c r="M50" i="7" s="1"/>
  <c r="N50" i="7" s="1"/>
  <c r="E29" i="7"/>
  <c r="M29" i="7" s="1"/>
  <c r="N29" i="7" s="1"/>
  <c r="E70" i="7"/>
  <c r="M70" i="7" s="1"/>
  <c r="O70" i="7" s="1"/>
  <c r="K36" i="7"/>
  <c r="M36" i="7" s="1"/>
  <c r="G39" i="7"/>
  <c r="M39" i="7" s="1"/>
  <c r="G46" i="7"/>
  <c r="M46" i="7" s="1"/>
  <c r="N46" i="7" s="1"/>
  <c r="O38" i="7"/>
  <c r="M41" i="7"/>
  <c r="N41" i="7" s="1"/>
  <c r="O62" i="7"/>
  <c r="E64" i="7"/>
  <c r="C46" i="7"/>
  <c r="M52" i="7"/>
  <c r="B28" i="6"/>
  <c r="B13" i="6"/>
  <c r="D13" i="6" s="1"/>
  <c r="L13" i="4"/>
  <c r="M13" i="4" s="1"/>
  <c r="K13" i="4"/>
  <c r="L15" i="4"/>
  <c r="K15" i="4"/>
  <c r="L28" i="4"/>
  <c r="M28" i="4" s="1"/>
  <c r="G21" i="4"/>
  <c r="L24" i="4"/>
  <c r="G11" i="4"/>
  <c r="H21" i="4"/>
  <c r="G13" i="4"/>
  <c r="G15" i="4"/>
  <c r="H17" i="4"/>
  <c r="G17" i="4"/>
  <c r="K11" i="4"/>
  <c r="I17" i="4"/>
  <c r="K19" i="4"/>
  <c r="K30" i="4"/>
  <c r="I119" i="2"/>
  <c r="I123" i="2" s="1"/>
  <c r="F123" i="2"/>
  <c r="G123" i="2"/>
  <c r="D123" i="2"/>
  <c r="H123" i="2"/>
  <c r="E123" i="2"/>
  <c r="F53" i="2"/>
  <c r="I120" i="2"/>
  <c r="M37" i="2"/>
  <c r="M50" i="2" s="1"/>
  <c r="M53" i="2" s="1"/>
  <c r="M65" i="2" s="1"/>
  <c r="M77" i="2" s="1"/>
  <c r="M80" i="2" s="1"/>
  <c r="J32" i="2"/>
  <c r="F79" i="2"/>
  <c r="F80" i="2" s="1"/>
  <c r="F107" i="2"/>
  <c r="F108" i="2" s="1"/>
  <c r="M187" i="1"/>
  <c r="H187" i="1"/>
  <c r="H191" i="1" s="1"/>
  <c r="I187" i="1"/>
  <c r="I191" i="1" s="1"/>
  <c r="H148" i="1"/>
  <c r="T187" i="1"/>
  <c r="AC14" i="1"/>
  <c r="Q49" i="1"/>
  <c r="AC75" i="1"/>
  <c r="L88" i="1"/>
  <c r="AC88" i="1" s="1"/>
  <c r="T88" i="1"/>
  <c r="L150" i="1"/>
  <c r="T150" i="1"/>
  <c r="AC186" i="1"/>
  <c r="U188" i="1"/>
  <c r="M47" i="1"/>
  <c r="R49" i="1"/>
  <c r="U150" i="1"/>
  <c r="N188" i="1"/>
  <c r="N47" i="1"/>
  <c r="S49" i="1"/>
  <c r="N85" i="1"/>
  <c r="N187" i="1" s="1"/>
  <c r="AC187" i="1" s="1"/>
  <c r="N88" i="1"/>
  <c r="O188" i="1"/>
  <c r="L49" i="1"/>
  <c r="T49" i="1"/>
  <c r="O88" i="1"/>
  <c r="P188" i="1"/>
  <c r="J32" i="1"/>
  <c r="J47" i="1" s="1"/>
  <c r="J59" i="1"/>
  <c r="J85" i="1" s="1"/>
  <c r="J187" i="1" s="1"/>
  <c r="J191" i="1" s="1"/>
  <c r="P88" i="1"/>
  <c r="P150" i="1"/>
  <c r="Q188" i="1"/>
  <c r="AC188" i="1" s="1"/>
  <c r="L148" i="1"/>
  <c r="R188" i="1"/>
  <c r="R88" i="1"/>
  <c r="S188" i="1"/>
  <c r="S88" i="1"/>
  <c r="N39" i="7" l="1"/>
  <c r="O39" i="7"/>
  <c r="N36" i="7"/>
  <c r="O36" i="7"/>
  <c r="G59" i="7"/>
  <c r="G74" i="7" s="1"/>
  <c r="G75" i="7" s="1"/>
  <c r="K74" i="7"/>
  <c r="K75" i="7" s="1"/>
  <c r="O52" i="7"/>
  <c r="N52" i="7"/>
  <c r="O46" i="7"/>
  <c r="O41" i="7"/>
  <c r="E59" i="7"/>
  <c r="E71" i="7"/>
  <c r="E74" i="7" s="1"/>
  <c r="E75" i="7" s="1"/>
  <c r="M64" i="7"/>
  <c r="M59" i="7"/>
  <c r="N58" i="7"/>
  <c r="N59" i="7" s="1"/>
  <c r="O50" i="7"/>
  <c r="O59" i="7" s="1"/>
  <c r="C34" i="6"/>
  <c r="C36" i="6" s="1"/>
  <c r="D28" i="6"/>
  <c r="L17" i="4"/>
  <c r="K17" i="4"/>
  <c r="L21" i="4"/>
  <c r="K21" i="4"/>
  <c r="M92" i="2"/>
  <c r="M105" i="2" s="1"/>
  <c r="M108" i="2" s="1"/>
  <c r="K115" i="2" s="1"/>
  <c r="K88" i="2"/>
  <c r="J59" i="2"/>
  <c r="L191" i="1"/>
  <c r="M87" i="1"/>
  <c r="AC47" i="1"/>
  <c r="AC49" i="1"/>
  <c r="N87" i="1"/>
  <c r="N148" i="1" s="1"/>
  <c r="N191" i="1" s="1"/>
  <c r="AC150" i="1"/>
  <c r="AC85" i="1"/>
  <c r="N64" i="7" l="1"/>
  <c r="N71" i="7" s="1"/>
  <c r="M71" i="7"/>
  <c r="M74" i="7" s="1"/>
  <c r="O64" i="7"/>
  <c r="O71" i="7" s="1"/>
  <c r="M148" i="1"/>
  <c r="J87" i="1"/>
  <c r="AC87" i="1"/>
  <c r="M75" i="7" l="1"/>
  <c r="G78" i="7"/>
  <c r="G80" i="7" s="1"/>
  <c r="O74" i="7"/>
  <c r="M191" i="1"/>
  <c r="AC191" i="1" s="1"/>
  <c r="AC148" i="1"/>
  <c r="J148" i="1"/>
</calcChain>
</file>

<file path=xl/sharedStrings.xml><?xml version="1.0" encoding="utf-8"?>
<sst xmlns="http://schemas.openxmlformats.org/spreadsheetml/2006/main" count="1473" uniqueCount="484">
  <si>
    <t>protect=parish</t>
  </si>
  <si>
    <t>VAT CALCULATOR</t>
  </si>
  <si>
    <t>NET</t>
  </si>
  <si>
    <t>GROSS</t>
  </si>
  <si>
    <t>VAT</t>
  </si>
  <si>
    <t>LOSTOCK GRALAM PARISH COUNCIL</t>
  </si>
  <si>
    <t>Payments Ledger</t>
  </si>
  <si>
    <t>1 April 2021 - 31 March 2022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</si>
  <si>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</si>
  <si>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</si>
  <si>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</si>
  <si>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</si>
  <si>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</si>
  <si>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</si>
  <si>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</si>
  <si>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</si>
  <si>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</si>
  <si>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</si>
  <si>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Date</t>
  </si>
  <si>
    <t>Chq No.</t>
  </si>
  <si>
    <t>Type</t>
  </si>
  <si>
    <t>Qtr</t>
  </si>
  <si>
    <t>Payee</t>
  </si>
  <si>
    <t>Details</t>
  </si>
  <si>
    <t>Bud</t>
  </si>
  <si>
    <t>Vat</t>
  </si>
  <si>
    <t>Total</t>
  </si>
  <si>
    <t>Check</t>
  </si>
  <si>
    <t>Cleared</t>
  </si>
  <si>
    <t>ADMINISTRATION COSTS</t>
  </si>
  <si>
    <t>Cap Project</t>
  </si>
  <si>
    <t>Other</t>
  </si>
  <si>
    <t>Ref</t>
  </si>
  <si>
    <t>Number</t>
  </si>
  <si>
    <t>Cat</t>
  </si>
  <si>
    <t>Cap</t>
  </si>
  <si>
    <t>K</t>
  </si>
  <si>
    <t>L</t>
  </si>
  <si>
    <t>M</t>
  </si>
  <si>
    <t>N</t>
  </si>
  <si>
    <t>O</t>
  </si>
  <si>
    <t>P</t>
  </si>
  <si>
    <t>Q</t>
  </si>
  <si>
    <t>CONTRACT</t>
  </si>
  <si>
    <t>Q1</t>
  </si>
  <si>
    <t>LYNDSEY SANDISON</t>
  </si>
  <si>
    <t>SALARY JAN-MARCH</t>
  </si>
  <si>
    <t>A1</t>
  </si>
  <si>
    <t>Y</t>
  </si>
  <si>
    <t>Zoom January – March</t>
  </si>
  <si>
    <t>B4</t>
  </si>
  <si>
    <t>Mobile January – March</t>
  </si>
  <si>
    <t>B1</t>
  </si>
  <si>
    <t>Mileage January - March</t>
  </si>
  <si>
    <t>B10</t>
  </si>
  <si>
    <t>Printing Ink</t>
  </si>
  <si>
    <t>B2</t>
  </si>
  <si>
    <t>Stamps</t>
  </si>
  <si>
    <t>B3</t>
  </si>
  <si>
    <t>Pro Litter Picking Sticks x 4 + 1 x hoop</t>
  </si>
  <si>
    <t>J1</t>
  </si>
  <si>
    <t>Suggestion Box</t>
  </si>
  <si>
    <t>Sundry Expenses</t>
  </si>
  <si>
    <t>H1</t>
  </si>
  <si>
    <t>HMRC</t>
  </si>
  <si>
    <t>Tax &amp; NI</t>
  </si>
  <si>
    <t>A2</t>
  </si>
  <si>
    <t>Ash Waste Ltd</t>
  </si>
  <si>
    <t>Bin Hire / Empty</t>
  </si>
  <si>
    <t>D1</t>
  </si>
  <si>
    <t>E-ON</t>
  </si>
  <si>
    <t>Festive Electricity Charge</t>
  </si>
  <si>
    <t>G2</t>
  </si>
  <si>
    <t>S/O</t>
  </si>
  <si>
    <t>Freeola</t>
  </si>
  <si>
    <t>Quarterly Web site Fee</t>
  </si>
  <si>
    <t>B9</t>
  </si>
  <si>
    <t>APRIL SALARY</t>
  </si>
  <si>
    <r>
      <t>Postage of Audit Folder + 12 x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Stamps</t>
    </r>
  </si>
  <si>
    <t xml:space="preserve">Ink cartridge  </t>
  </si>
  <si>
    <t xml:space="preserve">Zoom Fee 20/4/21-19/5/21  </t>
  </si>
  <si>
    <t>Mobile phone – April</t>
  </si>
  <si>
    <t xml:space="preserve">Mileage April  </t>
  </si>
  <si>
    <t>JDH Business Services</t>
  </si>
  <si>
    <t>Internal Audit for Y/E 31/03/2021</t>
  </si>
  <si>
    <t>B14</t>
  </si>
  <si>
    <t>PO</t>
  </si>
  <si>
    <t>Indigo Surveys Ltd</t>
  </si>
  <si>
    <t>Tree Survey PO Mar21/003</t>
  </si>
  <si>
    <t>I1</t>
  </si>
  <si>
    <t>Playsafety Limited</t>
  </si>
  <si>
    <t>Annual ROSPA play inspection</t>
  </si>
  <si>
    <t>C4</t>
  </si>
  <si>
    <t>CG Services Cheshire</t>
  </si>
  <si>
    <t xml:space="preserve">Grass Cutting – March &amp; April </t>
  </si>
  <si>
    <t>C2</t>
  </si>
  <si>
    <t>Repairs</t>
  </si>
  <si>
    <t>C5</t>
  </si>
  <si>
    <t>ICO</t>
  </si>
  <si>
    <t>Data protection fee</t>
  </si>
  <si>
    <t>B20</t>
  </si>
  <si>
    <t>CHALC</t>
  </si>
  <si>
    <t>Membership Fee</t>
  </si>
  <si>
    <t>E1</t>
  </si>
  <si>
    <t>ASH Waste Services Ltd</t>
  </si>
  <si>
    <t>Bin hire and collection</t>
  </si>
  <si>
    <t>Changing Lives Together</t>
  </si>
  <si>
    <t>Payroll Service April 20-March 21</t>
  </si>
  <si>
    <t>B18</t>
  </si>
  <si>
    <t>MAY SALARY</t>
  </si>
  <si>
    <t>Litter Picking Sticks</t>
  </si>
  <si>
    <t>Zoom Fee 01/06/2021-31/05/22</t>
  </si>
  <si>
    <t>Mobile phone – May (under claimed by £3.53)</t>
  </si>
  <si>
    <t>TRAINING</t>
  </si>
  <si>
    <t>B12</t>
  </si>
  <si>
    <t>MID CHESHIRE RAIL USERS ASS.</t>
  </si>
  <si>
    <t>ANNUAL SUBSCRIPTION</t>
  </si>
  <si>
    <t>E4</t>
  </si>
  <si>
    <t>First Quarter/Year to date Totals</t>
  </si>
  <si>
    <t>Minute</t>
  </si>
  <si>
    <t>Q2</t>
  </si>
  <si>
    <t>JUNE SALARY</t>
  </si>
  <si>
    <t>Mobile phone – June</t>
  </si>
  <si>
    <t>Mileage June</t>
  </si>
  <si>
    <t>TRAINING COURSE - TH</t>
  </si>
  <si>
    <t>TREEFELLERS</t>
  </si>
  <si>
    <t>TREE WORKS FOR MUGA</t>
  </si>
  <si>
    <t>Grass Cutting – May &amp; June</t>
  </si>
  <si>
    <t>STRIMMING</t>
  </si>
  <si>
    <t>JULY SALARY</t>
  </si>
  <si>
    <t>Mobile phone – July</t>
  </si>
  <si>
    <t>Mileage July</t>
  </si>
  <si>
    <t>Bike locks &amp; zip ties to secure play area fence</t>
  </si>
  <si>
    <t>CAME &amp; CO LOCAL COUNCIL INSURANCE</t>
  </si>
  <si>
    <t>ANNUAL INSURANCE PREMEIUM</t>
  </si>
  <si>
    <t>B15</t>
  </si>
  <si>
    <t>Grass Cutting</t>
  </si>
  <si>
    <t>Play Area Inspection Report</t>
  </si>
  <si>
    <t>SALARY - August</t>
  </si>
  <si>
    <t>Mobile phone – August</t>
  </si>
  <si>
    <t>Mileage August</t>
  </si>
  <si>
    <t>MUGA -SUNDRY EXPENSES</t>
  </si>
  <si>
    <t>PKF LITTLE JOHN</t>
  </si>
  <si>
    <t>EXTERNAL AUDIT</t>
  </si>
  <si>
    <t>DM PAYROLL SERVICES LTD</t>
  </si>
  <si>
    <t>6 MONTHS PAYROLL SERVICE</t>
  </si>
  <si>
    <t>THE SIGN SHED</t>
  </si>
  <si>
    <t>SIGNS FOR MUGA BUILDING SITE</t>
  </si>
  <si>
    <t>ASH WASTE SERVICES LTD</t>
  </si>
  <si>
    <t>BIN HIRE &amp; EMPTY</t>
  </si>
  <si>
    <t>GRASS CUTTING</t>
  </si>
  <si>
    <t>GROUNDWORK &amp; LEISURE SERVICES LTD</t>
  </si>
  <si>
    <t>LIGHTMAIN FENCE + INSTALLATION</t>
  </si>
  <si>
    <t>LIGHTMAIN CARPET SURFACE + INSTALLATION</t>
  </si>
  <si>
    <t>Quarterly eMAIL Fee</t>
  </si>
  <si>
    <t>CO-OPERATIVE BANK</t>
  </si>
  <si>
    <t>BANK CHARGE</t>
  </si>
  <si>
    <t>B17</t>
  </si>
  <si>
    <t>Second Quarter/Year to date Totals</t>
  </si>
  <si>
    <t>Q3</t>
  </si>
  <si>
    <t>October SALARY</t>
  </si>
  <si>
    <t>Mobile phone – October</t>
  </si>
  <si>
    <t>Mileage October</t>
  </si>
  <si>
    <t>CCTV Signage - Amazon</t>
  </si>
  <si>
    <t>b12</t>
  </si>
  <si>
    <t>Drainage for MUGA</t>
  </si>
  <si>
    <t>BIN HIRE + EMPTY</t>
  </si>
  <si>
    <t>VOID</t>
  </si>
  <si>
    <t>ARTHUR J. GALLAGHER INSURANCE</t>
  </si>
  <si>
    <t>MUGA INSURANCE</t>
  </si>
  <si>
    <t>NOVEMBER SALARY</t>
  </si>
  <si>
    <t>Mobile phone – November</t>
  </si>
  <si>
    <t>Mileage November</t>
  </si>
  <si>
    <t>Grass seed for around the outside of MUGA</t>
  </si>
  <si>
    <t>Daffodil bulbs</t>
  </si>
  <si>
    <t>C1</t>
  </si>
  <si>
    <t>THE DEFIB STORE</t>
  </si>
  <si>
    <t>DEFIB PADS</t>
  </si>
  <si>
    <t>STOCKDALE FENCING</t>
  </si>
  <si>
    <t>MUGA TPB FENCE</t>
  </si>
  <si>
    <t>MUGA CODE OF CONDUCT SIGN</t>
  </si>
  <si>
    <t>TEEN SHELTER DO NOT CLIMB SIGNS</t>
  </si>
  <si>
    <t>ASH WASTE</t>
  </si>
  <si>
    <t>CANCELLED CHQ - DIDN’T ARRIVE</t>
  </si>
  <si>
    <t>EXPENSES</t>
  </si>
  <si>
    <t>MARK VENABLES</t>
  </si>
  <si>
    <t>Expenses for sign install and cctv shelf</t>
  </si>
  <si>
    <t>TIM HODGES</t>
  </si>
  <si>
    <t>CHAIRMANS ALLOWANCE</t>
  </si>
  <si>
    <t>B11</t>
  </si>
  <si>
    <t>GRANT</t>
  </si>
  <si>
    <t>1ST LOSTOCK SCOUT GROUP</t>
  </si>
  <si>
    <t>S137 GRANT</t>
  </si>
  <si>
    <t>F1</t>
  </si>
  <si>
    <t>LOSTOCK TINY TOTS PRESCHOOL</t>
  </si>
  <si>
    <t>LOSTOCK GRALAM MOTHER AND TODDLER GROUP</t>
  </si>
  <si>
    <t>GRAHAM OAKES</t>
  </si>
  <si>
    <t>LITTER PICKING</t>
  </si>
  <si>
    <t>C3</t>
  </si>
  <si>
    <t>PRISM STUDIOS LTD</t>
  </si>
  <si>
    <t>Printing of Newsletter</t>
  </si>
  <si>
    <t>B6</t>
  </si>
  <si>
    <t>LOSTOCK GRALAM COMMUNITY CENTRE</t>
  </si>
  <si>
    <t>50% CONTRIBUTION TO FAIRGROUND RIDES</t>
  </si>
  <si>
    <t>G3</t>
  </si>
  <si>
    <t>M.W.PREECE</t>
  </si>
  <si>
    <t>BURGER VAN - XMAS LIGHT SWITCH ON</t>
  </si>
  <si>
    <t>DECEMBER SALARY</t>
  </si>
  <si>
    <t>Mobile phone – December</t>
  </si>
  <si>
    <t>Mileage December</t>
  </si>
  <si>
    <t>Printing Paper + Envelopes</t>
  </si>
  <si>
    <t>Christmas Light Switch on Expenditure</t>
  </si>
  <si>
    <t>Rememberance Sunday wreath</t>
  </si>
  <si>
    <t>1/2 YEAR CHARGE FOR PAYROLL</t>
  </si>
  <si>
    <t>MCRUA</t>
  </si>
  <si>
    <t>12 MONTHS SUBSCIPTION</t>
  </si>
  <si>
    <t>ST.JOHN CHURCH PCC</t>
  </si>
  <si>
    <t>GROUNDS MAINTENANCE GRANT</t>
  </si>
  <si>
    <t>F2</t>
  </si>
  <si>
    <t>NORTHWICH TOWN COUNCIL</t>
  </si>
  <si>
    <t>FLOWER PLANTERS</t>
  </si>
  <si>
    <t>ACCESS ABILITY UK LTD</t>
  </si>
  <si>
    <t>CCTV SYSTEM + ANTI CLIMB</t>
  </si>
  <si>
    <t>ASH WASTE LTD</t>
  </si>
  <si>
    <t>BIN HIRE</t>
  </si>
  <si>
    <t>LIGHTING HIRE FOR MUGA/XMAS LIGHT</t>
  </si>
  <si>
    <t>GRASS CUTTING + LEAF BLOW</t>
  </si>
  <si>
    <t>Third Quarter Totals</t>
  </si>
  <si>
    <t xml:space="preserve">YEAR TO DATE TOTALS </t>
  </si>
  <si>
    <t>Q4</t>
  </si>
  <si>
    <t>BAILEY AUDIOS LTD</t>
  </si>
  <si>
    <t>AUDIO HIRE - LIGHT SWITCH ON</t>
  </si>
  <si>
    <t>y</t>
  </si>
  <si>
    <t>JANUARY SALARY</t>
  </si>
  <si>
    <t>Mobile phone – January</t>
  </si>
  <si>
    <t xml:space="preserve">Mileage January </t>
  </si>
  <si>
    <t xml:space="preserve">McAfree </t>
  </si>
  <si>
    <t>ROYAL MAIL GROUP LTD</t>
  </si>
  <si>
    <t>PO BOX RENEWAL</t>
  </si>
  <si>
    <t>B5</t>
  </si>
  <si>
    <t>Chritmas tree + lights</t>
  </si>
  <si>
    <t>G1</t>
  </si>
  <si>
    <t>FEBRUARY SALARY</t>
  </si>
  <si>
    <t>Mobile phone – FEB</t>
  </si>
  <si>
    <t>Mileage Feb</t>
  </si>
  <si>
    <t>12 x 2nd Class Stamps</t>
  </si>
  <si>
    <t>Stationary</t>
  </si>
  <si>
    <t>LOSTOCK GRALAM CHURCH HALL HIRE</t>
  </si>
  <si>
    <t>HALL HIRE FOR PAST YEAR</t>
  </si>
  <si>
    <t>NEW PATHWAY AT PLAY AREA MUGA</t>
  </si>
  <si>
    <t>MARCH SALARY</t>
  </si>
  <si>
    <t>Mobile phone – MARCH</t>
  </si>
  <si>
    <t>Mileage MARCH</t>
  </si>
  <si>
    <t>VEHICLE CROSSING APPLICATION CWAC</t>
  </si>
  <si>
    <t>METAL CABLE TIES FOR PLAY AREA FENCE</t>
  </si>
  <si>
    <t>STRIKE- REPLACE FENCE PANEL</t>
  </si>
  <si>
    <t>FREEOLA</t>
  </si>
  <si>
    <t>EMAILPRO</t>
  </si>
  <si>
    <t>LOSTOCK GRALAM PRIMARY SCHOOL</t>
  </si>
  <si>
    <t>Fourth Quarter Totals</t>
  </si>
  <si>
    <t>YEAR END TOTALS</t>
  </si>
  <si>
    <t>RECEIPTS LEDGER 21-22</t>
  </si>
  <si>
    <t>Budget</t>
  </si>
  <si>
    <t>RECEIPTS</t>
  </si>
  <si>
    <t>ACCOUNTS</t>
  </si>
  <si>
    <t>TOTAL</t>
  </si>
  <si>
    <t>Category</t>
  </si>
  <si>
    <t>Precept</t>
  </si>
  <si>
    <t>Bank Int</t>
  </si>
  <si>
    <t>Grants</t>
  </si>
  <si>
    <t>Current</t>
  </si>
  <si>
    <t>Deposit</t>
  </si>
  <si>
    <t>Bond</t>
  </si>
  <si>
    <t>Premium</t>
  </si>
  <si>
    <t>bf</t>
  </si>
  <si>
    <t>INC1</t>
  </si>
  <si>
    <t>PRECEPT CWAC</t>
  </si>
  <si>
    <t>INC4</t>
  </si>
  <si>
    <t>INC2</t>
  </si>
  <si>
    <t>INTEREST</t>
  </si>
  <si>
    <t>Total Receipts this quarter:</t>
  </si>
  <si>
    <t>Less 1st Quarter Payments</t>
  </si>
  <si>
    <t>Total Receipts this year:</t>
  </si>
  <si>
    <t>Current Account (per bank statement)</t>
  </si>
  <si>
    <t>Deposit Account (per bank statement)</t>
  </si>
  <si>
    <t xml:space="preserve">Less: Cheques o/s </t>
  </si>
  <si>
    <t>Balance as at 30 June 2021</t>
  </si>
  <si>
    <t>Balance brought forward</t>
  </si>
  <si>
    <t>Reserve</t>
  </si>
  <si>
    <t>INC3</t>
  </si>
  <si>
    <t>S106 GRANT- MUGA DRAINAGE</t>
  </si>
  <si>
    <t>ARNOLD CLARK CCTV GRANT</t>
  </si>
  <si>
    <t>PCC GRANT</t>
  </si>
  <si>
    <t>Less 2nd Quarter Payments</t>
  </si>
  <si>
    <t>Reserve Account (per bank statement)</t>
  </si>
  <si>
    <t>Balance as at 30 Sept 2021</t>
  </si>
  <si>
    <t>GRANT- VEOLIA</t>
  </si>
  <si>
    <t>INC5</t>
  </si>
  <si>
    <t>OPEN SPACE USE FEE</t>
  </si>
  <si>
    <t>GRANT-FCC</t>
  </si>
  <si>
    <t>INC6</t>
  </si>
  <si>
    <t>GRANT-MEMBERS BUDGET XMAS</t>
  </si>
  <si>
    <t>GRANT-MEMBERS BUDGET SHELTER</t>
  </si>
  <si>
    <t>GRANT -INOVYN XMAS LIGHT</t>
  </si>
  <si>
    <t>50% CONTRIBUTION FOR BUGER VAN</t>
  </si>
  <si>
    <t>Less 3rd Quarter Payments</t>
  </si>
  <si>
    <t>Balance as at 31 Dec 2021</t>
  </si>
  <si>
    <t>Less 4th Quarter Payments</t>
  </si>
  <si>
    <t>Balance as at 31 Mar 2022</t>
  </si>
  <si>
    <t>Yearly Totals</t>
  </si>
  <si>
    <t>Total Receipts</t>
  </si>
  <si>
    <t>Quarter to 30th June</t>
  </si>
  <si>
    <t>Quarter to 30th September</t>
  </si>
  <si>
    <t>Quarter to 31st December</t>
  </si>
  <si>
    <t xml:space="preserve">Quarter to 31st March </t>
  </si>
  <si>
    <t>Full  Year to 31st March</t>
  </si>
  <si>
    <t>Bank reconciliation – pro forma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</si>
  <si>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2019”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</si>
  <si>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Name of smaller authority: </t>
  </si>
  <si>
    <t>Lostock Gralam Parish Council</t>
  </si>
  <si>
    <t xml:space="preserve">County area (local councils and parish meetings only): </t>
  </si>
  <si>
    <t xml:space="preserve">Cheshire </t>
  </si>
  <si>
    <t>Financial year ending 31 March 2022</t>
  </si>
  <si>
    <t>Prepared by (Name and Role):</t>
  </si>
  <si>
    <t>Lyndsey Sandison Parish Clerk and Responsible Finance Officer</t>
  </si>
  <si>
    <t>Date:</t>
  </si>
  <si>
    <t>£</t>
  </si>
  <si>
    <t>Balance per bank statements as at 31/3/22:</t>
  </si>
  <si>
    <t>Community Directplus Account</t>
  </si>
  <si>
    <t>Business Select Instant Access Account</t>
  </si>
  <si>
    <t>Petty cash float (if applicable)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</si>
  <si>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</si>
  <si>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31/3/22</t>
  </si>
  <si>
    <t>NIL</t>
  </si>
  <si>
    <t>Net balances as at 31/3/22 (Box 8)</t>
  </si>
  <si>
    <t xml:space="preserve">Explanation of variances – pro forma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</si>
  <si>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theme="1"/>
        <rFont val="Arial"/>
        <family val="2"/>
      </rPr>
      <t>Cheshire</t>
    </r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</si>
  <si>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</si>
  <si>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</si>
  <si>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2020/21</t>
  </si>
  <si>
    <t>2021/22</t>
  </si>
  <si>
    <t>Variance</t>
  </si>
  <si>
    <t>Explanation Required?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</si>
  <si>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</si>
  <si>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</si>
  <si>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t>%</t>
  </si>
  <si>
    <t>1 Balances Brought Forward</t>
  </si>
  <si>
    <t>The PC had received part of the Veolia grant (for MUGA) in Oct 2020, £26,800. However due to covid and planning complications the MuGA wasn’t built until the next financial year 2021/22. The PC also spent £10,560 on the planning process for the MUGA in 2020/21. The PC  went £4,674 overbudget on play area repairs due to H/S repairs which were needed. The two year old PC laptop unexpectedly had an unfixable hardware fault and we had to buy another laptop not budgeted for at £594.00</t>
  </si>
  <si>
    <t>2 Precept or Rates and Levies</t>
  </si>
  <si>
    <t>3 Total Other Receipts</t>
  </si>
  <si>
    <t>We received an FCC grant of £30,445 for the MUGA and the remaining £6,700 grant money from Veolia.</t>
  </si>
  <si>
    <t>4 Staff Costs</t>
  </si>
  <si>
    <t>The Clerk moved from being paid quarterly to monthly in April 2021, therefore in April 2021 the PC paid the Clerk for Jan-March then monthly from May so this year we will have 14 months of salary payments. (Jan-Mar 2021 + April 2021 to Feb 2022)</t>
  </si>
  <si>
    <t>5 Loan Interest/Capital Repayment</t>
  </si>
  <si>
    <t>6 All Other Payments</t>
  </si>
  <si>
    <t>The MUGA cost was £71,400 + Tree protection fence at £2,210, + a footpath around the MUGA at £5,303 + we installed CCTV at the playarea at £4980 to help protect muga from vandalism.</t>
  </si>
  <si>
    <t>7 Balances Carried Forward</t>
  </si>
  <si>
    <t>VARIANCE EXPLANATION NOT REQUIRED</t>
  </si>
  <si>
    <t>8 Total Cash and Short Term Investments</t>
  </si>
  <si>
    <t>9 Total Fixed Assets plus Other Long Term Investments and Assets</t>
  </si>
  <si>
    <t>The MUGA at £63,945 (Frame + Surface cost excluding drainage cost) + CCTV equipment at £4,980 minus disposals at £119.</t>
  </si>
  <si>
    <t>10 Total Borrowings</t>
  </si>
  <si>
    <t>Rounding errors of up to £2 are tolerable</t>
  </si>
  <si>
    <t>Variances of £200 or less are tolerable</t>
  </si>
  <si>
    <t>BOX 10 VARIANCE EXPLANATION NOT REQUIRED IF CHANGE CAN BE EXPLAINED BY BOX 5 (CAPITAL PLUS INTEREST PAYMENT)</t>
  </si>
  <si>
    <t xml:space="preserve"> </t>
  </si>
  <si>
    <t>Explanation for ‘high’ reserves</t>
  </si>
  <si>
    <t>(Please complete the highlighted boxes.)</t>
  </si>
  <si>
    <t>Box 7 is more than twice Box 2 because the authority held the following breakdown of reserves at the year end:</t>
  </si>
  <si>
    <t>Earmarked reserves:</t>
  </si>
  <si>
    <t>BUS SHELTER</t>
  </si>
  <si>
    <t>DROP KERB</t>
  </si>
  <si>
    <t>General reserve</t>
  </si>
  <si>
    <t>Total reserves (must agree to Box 7)</t>
  </si>
  <si>
    <t>SUMMARY RECEIPTS AND PAYMENT ACCOUNT</t>
  </si>
  <si>
    <t>FOR YEAR 2021-22</t>
  </si>
  <si>
    <t>ACTUAL</t>
  </si>
  <si>
    <t>BUDGET</t>
  </si>
  <si>
    <t>% Budget</t>
  </si>
  <si>
    <t>2021-2022</t>
  </si>
  <si>
    <t>Bank Interest</t>
  </si>
  <si>
    <t>TOTAL RECEIPTS</t>
  </si>
  <si>
    <t>PAYMENTS</t>
  </si>
  <si>
    <t>STAFF COSTS</t>
  </si>
  <si>
    <t>PARK &amp; OPEN SPACES</t>
  </si>
  <si>
    <t>CHURCHYARD</t>
  </si>
  <si>
    <t>SUBSCRIPTIONS</t>
  </si>
  <si>
    <t xml:space="preserve">SECTION 137 DONATIONS </t>
  </si>
  <si>
    <t>OTHER</t>
  </si>
  <si>
    <t>CONTINGENCY</t>
  </si>
  <si>
    <t>GENERAL RESERVES</t>
  </si>
  <si>
    <t>-</t>
  </si>
  <si>
    <t>Vat on Payments</t>
  </si>
  <si>
    <t>TOTAL PAYMENTS</t>
  </si>
  <si>
    <t>RECEIPTS &amp; PAYMENTS SUMMARY</t>
  </si>
  <si>
    <t>BALANCE BROUGHT FORWARD on 01/04/20</t>
  </si>
  <si>
    <r>
      <t>ADD</t>
    </r>
    <r>
      <rPr>
        <sz val="10"/>
        <rFont val="Arial"/>
        <family val="2"/>
      </rPr>
      <t xml:space="preserve"> Total Receipts (as above)</t>
    </r>
  </si>
  <si>
    <r>
      <t xml:space="preserve">LESS </t>
    </r>
    <r>
      <rPr>
        <sz val="10"/>
        <rFont val="Arial"/>
        <family val="2"/>
      </rPr>
      <t>Total payments (as above)</t>
    </r>
  </si>
  <si>
    <t>Balance Carried forward 31/03/21</t>
  </si>
  <si>
    <t>These cumulative funds are represented by:</t>
  </si>
  <si>
    <t>Current Account Balance</t>
  </si>
  <si>
    <t>Less:Cheques drawn but not debited as at 31.03.21  (nos.  )</t>
  </si>
  <si>
    <t>Reserve Account Balance</t>
  </si>
  <si>
    <t xml:space="preserve">Signed: </t>
  </si>
  <si>
    <t>Responsible Finance Officer to Lostock Gralam Parish Council</t>
  </si>
  <si>
    <t xml:space="preserve">LOSTOCK GRALAM PARISH COUNCIL  </t>
  </si>
  <si>
    <t xml:space="preserve"> Budget 2021-22</t>
  </si>
  <si>
    <t>EXPENDITURE HEAD</t>
  </si>
  <si>
    <t>Actual</t>
  </si>
  <si>
    <t xml:space="preserve">Remaining </t>
  </si>
  <si>
    <t>2022/23</t>
  </si>
  <si>
    <t>2021-22</t>
  </si>
  <si>
    <t>Exp</t>
  </si>
  <si>
    <t>of Budget</t>
  </si>
  <si>
    <t>Payroll Costs - Net Pay</t>
  </si>
  <si>
    <t>NI</t>
  </si>
  <si>
    <t>Pension Contribution</t>
  </si>
  <si>
    <t>A3</t>
  </si>
  <si>
    <t>TOTAL STAFF COSTS</t>
  </si>
  <si>
    <t>Telephone</t>
  </si>
  <si>
    <t>Stationery + printing</t>
  </si>
  <si>
    <t>Postage</t>
  </si>
  <si>
    <t>Meeting Room Hire</t>
  </si>
  <si>
    <t>PO BOX Address</t>
  </si>
  <si>
    <t>Parish Newsletter</t>
  </si>
  <si>
    <t>Website/IT</t>
  </si>
  <si>
    <t>Travelling Expenses</t>
  </si>
  <si>
    <t>Chairman's Allowance</t>
  </si>
  <si>
    <t>Training &amp; Seminars</t>
  </si>
  <si>
    <t>Legal  and other Fees</t>
  </si>
  <si>
    <t>B13</t>
  </si>
  <si>
    <t>Audit Fees</t>
  </si>
  <si>
    <t>Insurance</t>
  </si>
  <si>
    <t>Payroll Services</t>
  </si>
  <si>
    <t>Election Fees</t>
  </si>
  <si>
    <t>B19</t>
  </si>
  <si>
    <t>ICO fee</t>
  </si>
  <si>
    <t>Bank Charge</t>
  </si>
  <si>
    <t>TOTAL ADMINISTRATION COSTS</t>
  </si>
  <si>
    <t>Planters + Lostock in Bloom</t>
  </si>
  <si>
    <t>Grass cutting</t>
  </si>
  <si>
    <t>Litter pick</t>
  </si>
  <si>
    <t>Play Inspections</t>
  </si>
  <si>
    <t>Repairs and Maintenance</t>
  </si>
  <si>
    <t>TOTAL PARK &amp; OPEN SPACES</t>
  </si>
  <si>
    <t>Bin Hire and emptying</t>
  </si>
  <si>
    <t>TOTAL CHURCHYARD</t>
  </si>
  <si>
    <t>ChALC</t>
  </si>
  <si>
    <t>Mid Cheshire Footpath Society</t>
  </si>
  <si>
    <t>E2</t>
  </si>
  <si>
    <t xml:space="preserve"> Community Community Action</t>
  </si>
  <si>
    <t>E3</t>
  </si>
  <si>
    <t>E5</t>
  </si>
  <si>
    <t>TOTAL SUBSCRIPTIONS</t>
  </si>
  <si>
    <t>S.137 Grant and donation requests</t>
  </si>
  <si>
    <t>Church Yard Grant</t>
  </si>
  <si>
    <t>TOTAL S137 GRANTS AND DONATIONS</t>
  </si>
  <si>
    <t>Christmas Tree</t>
  </si>
  <si>
    <t>Festive Light Electricity</t>
  </si>
  <si>
    <t>Community Events - Light switch on  &amp; Fetes</t>
  </si>
  <si>
    <t>TOTAL OTHER COST</t>
  </si>
  <si>
    <t>Contingency</t>
  </si>
  <si>
    <t>TOTAL CONTINGENCY</t>
  </si>
  <si>
    <t xml:space="preserve">BUDGET (PRECEPT FOR THIS YEAR) TOTAL </t>
  </si>
  <si>
    <t>RESERVE FUNDS</t>
  </si>
  <si>
    <t>Football Pitch Renovation</t>
  </si>
  <si>
    <t>Pedestrian Crossing (NHB)</t>
  </si>
  <si>
    <t>I2</t>
  </si>
  <si>
    <t>EARMARKED RESERVE FUNDS TOTAL</t>
  </si>
  <si>
    <t xml:space="preserve">CAPITAL </t>
  </si>
  <si>
    <t>CAPITAL PROJECTS</t>
  </si>
  <si>
    <t>TOTAL  CAPITAL PROJECTS</t>
  </si>
  <si>
    <t>EARMARKED + RESERVE FUNDS</t>
  </si>
  <si>
    <t xml:space="preserve">Total Payments in Current Financial Year </t>
  </si>
  <si>
    <t>Net</t>
  </si>
  <si>
    <t xml:space="preserve">Bank Reconciliation </t>
  </si>
  <si>
    <t>Summary</t>
  </si>
  <si>
    <t>Current Account</t>
  </si>
  <si>
    <t>B/f</t>
  </si>
  <si>
    <t>Deposit Account</t>
  </si>
  <si>
    <t>Payments</t>
  </si>
  <si>
    <t xml:space="preserve">Uncleared Cheques </t>
  </si>
  <si>
    <t>Receipts</t>
  </si>
  <si>
    <t>As at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</si>
</sst>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[$-809]dd\ mmmm\ yyyy;@"/>
    <numFmt numFmtId="167" formatCode="#,##0.00000000000_ ;\-#,##0.00000000000\ "/>
    <numFmt numFmtId="168" formatCode="#,##0.000000000000_ ;\-#,##0.000000000000\ "/>
    <numFmt numFmtId="169" formatCode="#,##0.0000000000000_ ;\-#,##0.0000000000000\ "/>
    <numFmt numFmtId="170" formatCode="_-* #,##0.0_-;\-* #,##0.0_-;_-* &quot;-&quot;??_-;_-@_-"/>
    <numFmt numFmtId="171" formatCode="#,##0.00;\(#,##0.00\)"/>
    <numFmt numFmtId="172" formatCode="#,##0.00_ ;\(#,##0.00\);_-* &quot;-&quot;??_-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2"/>
      <color rgb="FF333333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Symbol"/>
      <family val="1"/>
      <charset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0"/>
      <name val="Arial"/>
      <family val="2"/>
    </font>
    <font>
      <sz val="14"/>
      <color rgb="FF000000"/>
      <name val="Times New Roman"/>
      <family val="1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indexed="1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</cellStyleXfs>
  <cellXfs count="68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2" fontId="7" fillId="2" borderId="4" xfId="0" applyNumberFormat="1" applyFont="1" applyFill="1" applyBorder="1" applyAlignment="1" applyProtection="1">
      <alignment horizontal="left"/>
      <protection locked="0"/>
    </xf>
    <xf numFmtId="2" fontId="7" fillId="0" borderId="5" xfId="0" applyNumberFormat="1" applyFont="1" applyBorder="1" applyAlignment="1" applyProtection="1">
      <alignment horizontal="left"/>
      <protection locked="0"/>
    </xf>
    <xf numFmtId="2" fontId="7" fillId="0" borderId="6" xfId="0" applyNumberFormat="1" applyFont="1" applyBorder="1" applyAlignment="1" applyProtection="1">
      <alignment horizontal="left"/>
      <protection locked="0"/>
    </xf>
    <xf numFmtId="2" fontId="7" fillId="3" borderId="7" xfId="0" applyNumberFormat="1" applyFont="1" applyFill="1" applyBorder="1" applyAlignment="1" applyProtection="1">
      <alignment horizontal="left"/>
      <protection locked="0"/>
    </xf>
    <xf numFmtId="2" fontId="7" fillId="2" borderId="8" xfId="0" applyNumberFormat="1" applyFont="1" applyFill="1" applyBorder="1" applyAlignment="1" applyProtection="1">
      <alignment horizontal="left"/>
      <protection locked="0"/>
    </xf>
    <xf numFmtId="2" fontId="7" fillId="0" borderId="9" xfId="0" applyNumberFormat="1" applyFont="1" applyBorder="1" applyAlignment="1" applyProtection="1">
      <alignment horizontal="left"/>
      <protection locked="0"/>
    </xf>
    <xf numFmtId="2" fontId="7" fillId="3" borderId="10" xfId="0" applyNumberFormat="1" applyFont="1" applyFill="1" applyBorder="1" applyAlignment="1" applyProtection="1">
      <alignment horizontal="left"/>
      <protection locked="0"/>
    </xf>
    <xf numFmtId="2" fontId="7" fillId="0" borderId="11" xfId="0" applyNumberFormat="1" applyFont="1" applyBorder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0" fontId="7" fillId="3" borderId="0" xfId="0" applyFont="1" applyFill="1" applyAlignment="1" applyProtection="1">
      <alignment horizontal="left"/>
      <protection locked="0"/>
    </xf>
    <xf numFmtId="2" fontId="7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left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0" fontId="7" fillId="4" borderId="13" xfId="0" applyFont="1" applyFill="1" applyBorder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8" fillId="4" borderId="13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 wrapText="1"/>
      <protection locked="0"/>
    </xf>
    <xf numFmtId="0" fontId="7" fillId="4" borderId="14" xfId="0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left"/>
      <protection locked="0"/>
    </xf>
    <xf numFmtId="0" fontId="7" fillId="4" borderId="15" xfId="0" applyFont="1" applyFill="1" applyBorder="1" applyAlignment="1" applyProtection="1">
      <alignment horizontal="left"/>
      <protection locked="0"/>
    </xf>
    <xf numFmtId="0" fontId="7" fillId="4" borderId="16" xfId="0" applyFont="1" applyFill="1" applyBorder="1" applyAlignment="1" applyProtection="1">
      <alignment horizontal="left"/>
      <protection locked="0"/>
    </xf>
    <xf numFmtId="0" fontId="7" fillId="4" borderId="17" xfId="0" applyFont="1" applyFill="1" applyBorder="1" applyAlignment="1" applyProtection="1">
      <alignment horizontal="center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center" wrapText="1"/>
      <protection locked="0"/>
    </xf>
    <xf numFmtId="0" fontId="7" fillId="4" borderId="18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left"/>
      <protection locked="0"/>
    </xf>
    <xf numFmtId="0" fontId="7" fillId="4" borderId="19" xfId="0" applyFont="1" applyFill="1" applyBorder="1" applyAlignment="1" applyProtection="1">
      <alignment horizontal="left"/>
      <protection locked="0"/>
    </xf>
    <xf numFmtId="0" fontId="7" fillId="4" borderId="0" xfId="0" applyFont="1" applyFill="1" applyAlignment="1" applyProtection="1">
      <alignment horizontal="left"/>
      <protection locked="0"/>
    </xf>
    <xf numFmtId="0" fontId="7" fillId="4" borderId="20" xfId="0" applyFont="1" applyFill="1" applyBorder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164" fontId="9" fillId="0" borderId="21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9" fillId="0" borderId="21" xfId="0" applyFont="1" applyBorder="1" applyProtection="1">
      <protection locked="0"/>
    </xf>
    <xf numFmtId="4" fontId="9" fillId="3" borderId="21" xfId="0" applyNumberFormat="1" applyFont="1" applyFill="1" applyBorder="1" applyAlignment="1" applyProtection="1">
      <alignment horizontal="left"/>
      <protection locked="0"/>
    </xf>
    <xf numFmtId="4" fontId="10" fillId="0" borderId="21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/>
    </xf>
    <xf numFmtId="0" fontId="9" fillId="0" borderId="23" xfId="0" applyFont="1" applyBorder="1" applyAlignment="1" applyProtection="1">
      <alignment horizontal="center"/>
      <protection locked="0"/>
    </xf>
    <xf numFmtId="39" fontId="9" fillId="0" borderId="21" xfId="0" applyNumberFormat="1" applyFont="1" applyBorder="1" applyProtection="1">
      <protection locked="0"/>
    </xf>
    <xf numFmtId="0" fontId="9" fillId="3" borderId="18" xfId="0" applyFont="1" applyFill="1" applyBorder="1" applyAlignment="1" applyProtection="1">
      <alignment horizontal="center"/>
      <protection locked="0"/>
    </xf>
    <xf numFmtId="0" fontId="9" fillId="3" borderId="24" xfId="0" applyFont="1" applyFill="1" applyBorder="1" applyAlignment="1" applyProtection="1">
      <alignment horizontal="center"/>
      <protection locked="0"/>
    </xf>
    <xf numFmtId="8" fontId="9" fillId="3" borderId="14" xfId="0" applyNumberFormat="1" applyFont="1" applyFill="1" applyBorder="1"/>
    <xf numFmtId="0" fontId="0" fillId="3" borderId="0" xfId="0" applyFill="1"/>
    <xf numFmtId="0" fontId="10" fillId="0" borderId="21" xfId="0" applyFont="1" applyBorder="1" applyAlignment="1">
      <alignment vertical="center"/>
    </xf>
    <xf numFmtId="4" fontId="9" fillId="3" borderId="18" xfId="0" applyNumberFormat="1" applyFont="1" applyFill="1" applyBorder="1" applyAlignment="1" applyProtection="1">
      <alignment horizontal="center"/>
      <protection locked="0"/>
    </xf>
    <xf numFmtId="4" fontId="9" fillId="3" borderId="24" xfId="0" applyNumberFormat="1" applyFont="1" applyFill="1" applyBorder="1" applyAlignment="1" applyProtection="1">
      <alignment horizontal="center"/>
      <protection locked="0"/>
    </xf>
    <xf numFmtId="164" fontId="3" fillId="3" borderId="0" xfId="0" applyNumberFormat="1" applyFont="1" applyFill="1"/>
    <xf numFmtId="4" fontId="9" fillId="0" borderId="21" xfId="0" applyNumberFormat="1" applyFont="1" applyBorder="1" applyProtection="1">
      <protection locked="0"/>
    </xf>
    <xf numFmtId="4" fontId="9" fillId="0" borderId="14" xfId="0" applyNumberFormat="1" applyFont="1" applyBorder="1" applyProtection="1">
      <protection locked="0"/>
    </xf>
    <xf numFmtId="4" fontId="9" fillId="0" borderId="21" xfId="0" applyNumberFormat="1" applyFont="1" applyBorder="1"/>
    <xf numFmtId="0" fontId="10" fillId="0" borderId="21" xfId="0" applyFont="1" applyBorder="1"/>
    <xf numFmtId="4" fontId="3" fillId="0" borderId="21" xfId="1" applyNumberFormat="1" applyBorder="1" applyAlignment="1" applyProtection="1">
      <alignment horizontal="right"/>
      <protection locked="0"/>
    </xf>
    <xf numFmtId="0" fontId="10" fillId="0" borderId="21" xfId="0" applyFont="1" applyBorder="1" applyAlignment="1">
      <alignment vertical="center" wrapText="1"/>
    </xf>
    <xf numFmtId="0" fontId="3" fillId="0" borderId="21" xfId="0" applyFont="1" applyBorder="1" applyAlignment="1" applyProtection="1">
      <alignment horizontal="center"/>
      <protection locked="0"/>
    </xf>
    <xf numFmtId="4" fontId="0" fillId="3" borderId="21" xfId="0" applyNumberFormat="1" applyFill="1" applyBorder="1" applyAlignment="1" applyProtection="1">
      <alignment horizontal="left"/>
      <protection locked="0"/>
    </xf>
    <xf numFmtId="4" fontId="10" fillId="0" borderId="21" xfId="0" applyNumberFormat="1" applyFont="1" applyBorder="1" applyAlignment="1">
      <alignment horizontal="right" vertical="center" wrapText="1"/>
    </xf>
    <xf numFmtId="2" fontId="3" fillId="0" borderId="23" xfId="0" applyNumberFormat="1" applyFont="1" applyBorder="1" applyAlignment="1" applyProtection="1">
      <alignment horizontal="center"/>
      <protection locked="0"/>
    </xf>
    <xf numFmtId="4" fontId="0" fillId="0" borderId="21" xfId="0" applyNumberFormat="1" applyBorder="1" applyProtection="1">
      <protection locked="0"/>
    </xf>
    <xf numFmtId="4" fontId="0" fillId="0" borderId="21" xfId="0" applyNumberFormat="1" applyBorder="1"/>
    <xf numFmtId="4" fontId="0" fillId="0" borderId="14" xfId="0" applyNumberFormat="1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4" fontId="0" fillId="0" borderId="22" xfId="0" applyNumberFormat="1" applyBorder="1" applyAlignment="1">
      <alignment horizontal="right"/>
    </xf>
    <xf numFmtId="4" fontId="0" fillId="3" borderId="22" xfId="0" applyNumberFormat="1" applyFill="1" applyBorder="1" applyAlignment="1">
      <alignment horizontal="right"/>
    </xf>
    <xf numFmtId="0" fontId="3" fillId="0" borderId="23" xfId="0" applyFont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4" fontId="0" fillId="3" borderId="12" xfId="0" applyNumberFormat="1" applyFill="1" applyBorder="1" applyAlignment="1" applyProtection="1">
      <alignment horizontal="left"/>
      <protection locked="0"/>
    </xf>
    <xf numFmtId="4" fontId="10" fillId="0" borderId="12" xfId="0" applyNumberFormat="1" applyFont="1" applyBorder="1" applyAlignment="1">
      <alignment horizontal="right" vertical="center" wrapText="1"/>
    </xf>
    <xf numFmtId="0" fontId="3" fillId="3" borderId="23" xfId="0" applyFont="1" applyFill="1" applyBorder="1" applyAlignment="1" applyProtection="1">
      <alignment horizontal="center"/>
      <protection locked="0"/>
    </xf>
    <xf numFmtId="39" fontId="0" fillId="3" borderId="21" xfId="0" applyNumberFormat="1" applyFill="1" applyBorder="1" applyProtection="1"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0" fontId="3" fillId="0" borderId="21" xfId="0" applyFont="1" applyBorder="1" applyProtection="1">
      <protection locked="0"/>
    </xf>
    <xf numFmtId="0" fontId="10" fillId="0" borderId="21" xfId="0" applyFont="1" applyBorder="1" applyAlignment="1">
      <alignment horizontal="justify" vertical="center" wrapText="1"/>
    </xf>
    <xf numFmtId="8" fontId="10" fillId="0" borderId="21" xfId="0" applyNumberFormat="1" applyFont="1" applyBorder="1" applyAlignment="1">
      <alignment horizontal="right" vertical="center" wrapText="1"/>
    </xf>
    <xf numFmtId="2" fontId="0" fillId="0" borderId="23" xfId="0" applyNumberFormat="1" applyBorder="1" applyAlignment="1" applyProtection="1">
      <alignment horizontal="center"/>
      <protection locked="0"/>
    </xf>
    <xf numFmtId="4" fontId="3" fillId="0" borderId="21" xfId="1" applyNumberForma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center"/>
      <protection locked="0"/>
    </xf>
    <xf numFmtId="4" fontId="9" fillId="0" borderId="21" xfId="1" applyNumberFormat="1" applyFont="1" applyBorder="1" applyAlignment="1" applyProtection="1">
      <alignment horizontal="left"/>
      <protection locked="0"/>
    </xf>
    <xf numFmtId="4" fontId="0" fillId="3" borderId="25" xfId="0" applyNumberFormat="1" applyFill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2" fontId="9" fillId="0" borderId="23" xfId="0" applyNumberFormat="1" applyFont="1" applyBorder="1" applyAlignment="1" applyProtection="1">
      <alignment horizontal="center"/>
      <protection locked="0"/>
    </xf>
    <xf numFmtId="0" fontId="10" fillId="0" borderId="21" xfId="0" applyFont="1" applyBorder="1" applyAlignment="1">
      <alignment horizontal="right" vertical="center" wrapText="1"/>
    </xf>
    <xf numFmtId="165" fontId="0" fillId="0" borderId="21" xfId="0" applyNumberFormat="1" applyBorder="1" applyAlignment="1" applyProtection="1">
      <alignment horizontal="center"/>
      <protection locked="0"/>
    </xf>
    <xf numFmtId="4" fontId="0" fillId="0" borderId="19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26" xfId="0" applyNumberFormat="1" applyBorder="1" applyProtection="1"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26" xfId="1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left"/>
      <protection locked="0"/>
    </xf>
    <xf numFmtId="0" fontId="0" fillId="3" borderId="12" xfId="0" applyFill="1" applyBorder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4" fontId="12" fillId="3" borderId="12" xfId="0" quotePrefix="1" applyNumberFormat="1" applyFont="1" applyFill="1" applyBorder="1" applyAlignment="1" applyProtection="1">
      <alignment horizontal="left"/>
      <protection locked="0"/>
    </xf>
    <xf numFmtId="4" fontId="3" fillId="3" borderId="26" xfId="1" quotePrefix="1" applyNumberFormat="1" applyFill="1" applyBorder="1" applyAlignment="1" applyProtection="1">
      <alignment horizontal="left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4" fontId="3" fillId="3" borderId="19" xfId="0" applyNumberFormat="1" applyFont="1" applyFill="1" applyBorder="1" applyAlignment="1" applyProtection="1">
      <alignment horizontal="center"/>
      <protection locked="0"/>
    </xf>
    <xf numFmtId="39" fontId="0" fillId="3" borderId="12" xfId="0" applyNumberFormat="1" applyFill="1" applyBorder="1" applyProtection="1">
      <protection locked="0"/>
    </xf>
    <xf numFmtId="39" fontId="0" fillId="3" borderId="12" xfId="0" quotePrefix="1" applyNumberFormat="1" applyFill="1" applyBorder="1" applyProtection="1">
      <protection locked="0"/>
    </xf>
    <xf numFmtId="4" fontId="0" fillId="3" borderId="12" xfId="0" applyNumberFormat="1" applyFill="1" applyBorder="1" applyProtection="1">
      <protection locked="0"/>
    </xf>
    <xf numFmtId="4" fontId="0" fillId="3" borderId="26" xfId="0" applyNumberFormat="1" applyFill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left"/>
      <protection locked="0"/>
    </xf>
    <xf numFmtId="4" fontId="0" fillId="0" borderId="27" xfId="1" applyNumberFormat="1" applyFont="1" applyBorder="1" applyAlignment="1">
      <alignment horizontal="left"/>
    </xf>
    <xf numFmtId="0" fontId="0" fillId="0" borderId="18" xfId="0" applyBorder="1" applyProtection="1">
      <protection locked="0"/>
    </xf>
    <xf numFmtId="43" fontId="0" fillId="0" borderId="18" xfId="1" applyFont="1" applyBorder="1" applyAlignment="1" applyProtection="1">
      <alignment horizontal="left"/>
      <protection locked="0"/>
    </xf>
    <xf numFmtId="43" fontId="0" fillId="0" borderId="24" xfId="1" applyFont="1" applyBorder="1" applyAlignment="1" applyProtection="1">
      <alignment horizontal="left"/>
      <protection locked="0"/>
    </xf>
    <xf numFmtId="43" fontId="0" fillId="0" borderId="28" xfId="1" applyFont="1" applyBorder="1" applyProtection="1">
      <protection locked="0"/>
    </xf>
    <xf numFmtId="2" fontId="0" fillId="0" borderId="29" xfId="0" applyNumberFormat="1" applyBorder="1" applyAlignment="1" applyProtection="1">
      <alignment horizontal="center"/>
      <protection locked="0"/>
    </xf>
    <xf numFmtId="43" fontId="0" fillId="0" borderId="18" xfId="1" applyFont="1" applyBorder="1" applyProtection="1">
      <protection locked="0"/>
    </xf>
    <xf numFmtId="43" fontId="0" fillId="0" borderId="24" xfId="1" applyFont="1" applyBorder="1" applyProtection="1">
      <protection locked="0"/>
    </xf>
    <xf numFmtId="0" fontId="7" fillId="4" borderId="30" xfId="0" applyFont="1" applyFill="1" applyBorder="1" applyAlignment="1" applyProtection="1">
      <alignment horizontal="center"/>
      <protection locked="0"/>
    </xf>
    <xf numFmtId="0" fontId="7" fillId="4" borderId="13" xfId="0" applyFont="1" applyFill="1" applyBorder="1" applyAlignment="1" applyProtection="1">
      <alignment horizontal="center"/>
      <protection locked="0"/>
    </xf>
    <xf numFmtId="0" fontId="7" fillId="4" borderId="26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16" fontId="0" fillId="4" borderId="19" xfId="0" applyNumberFormat="1" applyFill="1" applyBorder="1" applyProtection="1"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left"/>
      <protection locked="0"/>
    </xf>
    <xf numFmtId="0" fontId="0" fillId="4" borderId="19" xfId="0" applyFill="1" applyBorder="1" applyProtection="1">
      <protection locked="0"/>
    </xf>
    <xf numFmtId="2" fontId="0" fillId="4" borderId="0" xfId="0" applyNumberFormat="1" applyFill="1" applyAlignment="1" applyProtection="1">
      <alignment horizontal="left"/>
      <protection locked="0"/>
    </xf>
    <xf numFmtId="2" fontId="0" fillId="4" borderId="20" xfId="0" applyNumberFormat="1" applyFill="1" applyBorder="1" applyProtection="1">
      <protection locked="0"/>
    </xf>
    <xf numFmtId="2" fontId="0" fillId="4" borderId="0" xfId="0" applyNumberFormat="1" applyFill="1" applyAlignment="1" applyProtection="1">
      <alignment horizontal="center"/>
      <protection locked="0"/>
    </xf>
    <xf numFmtId="0" fontId="7" fillId="4" borderId="24" xfId="0" applyFont="1" applyFill="1" applyBorder="1" applyAlignment="1" applyProtection="1">
      <alignment horizontal="center"/>
      <protection locked="0"/>
    </xf>
    <xf numFmtId="4" fontId="3" fillId="3" borderId="24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4" fontId="3" fillId="3" borderId="18" xfId="0" applyNumberFormat="1" applyFont="1" applyFill="1" applyBorder="1" applyAlignment="1" applyProtection="1">
      <alignment horizontal="center"/>
      <protection locked="0"/>
    </xf>
    <xf numFmtId="4" fontId="3" fillId="0" borderId="26" xfId="1" applyNumberFormat="1" applyBorder="1" applyAlignment="1" applyProtection="1">
      <alignment horizontal="right"/>
      <protection locked="0"/>
    </xf>
    <xf numFmtId="4" fontId="12" fillId="0" borderId="22" xfId="0" applyNumberFormat="1" applyFont="1" applyBorder="1" applyAlignment="1">
      <alignment horizontal="right"/>
    </xf>
    <xf numFmtId="4" fontId="9" fillId="0" borderId="14" xfId="1" applyNumberFormat="1" applyFont="1" applyBorder="1" applyAlignment="1" applyProtection="1">
      <alignment horizontal="left"/>
      <protection locked="0"/>
    </xf>
    <xf numFmtId="39" fontId="0" fillId="0" borderId="21" xfId="0" applyNumberFormat="1" applyBorder="1" applyProtection="1">
      <protection locked="0"/>
    </xf>
    <xf numFmtId="4" fontId="3" fillId="0" borderId="14" xfId="1" applyNumberFormat="1" applyBorder="1" applyAlignment="1" applyProtection="1">
      <alignment horizontal="left"/>
      <protection locked="0"/>
    </xf>
    <xf numFmtId="4" fontId="0" fillId="0" borderId="14" xfId="0" applyNumberForma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3" borderId="21" xfId="0" applyFill="1" applyBorder="1" applyAlignment="1">
      <alignment horizontal="left"/>
    </xf>
    <xf numFmtId="4" fontId="0" fillId="0" borderId="25" xfId="0" applyNumberFormat="1" applyBorder="1" applyAlignment="1">
      <alignment horizontal="right"/>
    </xf>
    <xf numFmtId="0" fontId="3" fillId="3" borderId="31" xfId="0" applyFont="1" applyFill="1" applyBorder="1" applyAlignment="1" applyProtection="1">
      <alignment horizontal="center"/>
      <protection locked="0"/>
    </xf>
    <xf numFmtId="4" fontId="0" fillId="0" borderId="32" xfId="0" applyNumberFormat="1" applyBorder="1" applyAlignment="1" applyProtection="1">
      <alignment horizontal="left"/>
      <protection locked="0"/>
    </xf>
    <xf numFmtId="4" fontId="9" fillId="3" borderId="22" xfId="0" applyNumberFormat="1" applyFont="1" applyFill="1" applyBorder="1" applyAlignment="1">
      <alignment horizontal="right"/>
    </xf>
    <xf numFmtId="4" fontId="3" fillId="3" borderId="14" xfId="1" applyNumberFormat="1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vertical="center" wrapText="1"/>
    </xf>
    <xf numFmtId="4" fontId="10" fillId="0" borderId="26" xfId="0" applyNumberFormat="1" applyFont="1" applyBorder="1" applyAlignment="1">
      <alignment horizontal="right" vertical="center" wrapText="1"/>
    </xf>
    <xf numFmtId="0" fontId="3" fillId="3" borderId="13" xfId="0" applyFont="1" applyFill="1" applyBorder="1" applyAlignment="1" applyProtection="1">
      <alignment horizontal="center"/>
      <protection locked="0"/>
    </xf>
    <xf numFmtId="4" fontId="0" fillId="0" borderId="12" xfId="0" applyNumberFormat="1" applyBorder="1"/>
    <xf numFmtId="4" fontId="0" fillId="0" borderId="33" xfId="1" applyNumberFormat="1" applyFont="1" applyBorder="1" applyAlignment="1">
      <alignment horizontal="left"/>
    </xf>
    <xf numFmtId="4" fontId="0" fillId="0" borderId="21" xfId="1" applyNumberFormat="1" applyFont="1" applyBorder="1" applyAlignment="1">
      <alignment horizontal="left"/>
    </xf>
    <xf numFmtId="43" fontId="0" fillId="0" borderId="34" xfId="1" applyFont="1" applyBorder="1" applyAlignment="1">
      <alignment horizontal="center"/>
    </xf>
    <xf numFmtId="4" fontId="0" fillId="0" borderId="27" xfId="1" applyNumberFormat="1" applyFont="1" applyBorder="1"/>
    <xf numFmtId="4" fontId="0" fillId="0" borderId="33" xfId="1" applyNumberFormat="1" applyFont="1" applyBorder="1"/>
    <xf numFmtId="0" fontId="0" fillId="0" borderId="35" xfId="0" applyBorder="1" applyProtection="1">
      <protection locked="0"/>
    </xf>
    <xf numFmtId="0" fontId="0" fillId="0" borderId="35" xfId="0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left"/>
      <protection locked="0"/>
    </xf>
    <xf numFmtId="4" fontId="0" fillId="0" borderId="35" xfId="0" applyNumberFormat="1" applyBorder="1" applyAlignment="1" applyProtection="1">
      <alignment horizontal="left"/>
      <protection locked="0"/>
    </xf>
    <xf numFmtId="4" fontId="0" fillId="0" borderId="36" xfId="0" applyNumberFormat="1" applyBorder="1" applyAlignment="1" applyProtection="1">
      <alignment horizontal="left"/>
      <protection locked="0"/>
    </xf>
    <xf numFmtId="4" fontId="0" fillId="0" borderId="28" xfId="0" applyNumberFormat="1" applyBorder="1" applyProtection="1">
      <protection locked="0"/>
    </xf>
    <xf numFmtId="2" fontId="0" fillId="0" borderId="37" xfId="0" applyNumberFormat="1" applyBorder="1" applyAlignment="1" applyProtection="1">
      <alignment horizontal="center"/>
      <protection locked="0"/>
    </xf>
    <xf numFmtId="4" fontId="0" fillId="0" borderId="2" xfId="0" applyNumberFormat="1" applyBorder="1" applyProtection="1">
      <protection locked="0"/>
    </xf>
    <xf numFmtId="4" fontId="0" fillId="0" borderId="38" xfId="0" applyNumberFormat="1" applyBorder="1" applyProtection="1">
      <protection locked="0"/>
    </xf>
    <xf numFmtId="4" fontId="0" fillId="0" borderId="12" xfId="1" applyNumberFormat="1" applyFont="1" applyBorder="1" applyAlignment="1">
      <alignment horizontal="left"/>
    </xf>
    <xf numFmtId="4" fontId="0" fillId="0" borderId="26" xfId="1" applyNumberFormat="1" applyFont="1" applyBorder="1" applyAlignment="1">
      <alignment horizontal="left"/>
    </xf>
    <xf numFmtId="4" fontId="0" fillId="0" borderId="30" xfId="0" applyNumberFormat="1" applyBorder="1" applyAlignment="1">
      <alignment horizontal="right"/>
    </xf>
    <xf numFmtId="2" fontId="0" fillId="0" borderId="5" xfId="0" applyNumberFormat="1" applyBorder="1" applyAlignment="1">
      <alignment horizontal="center"/>
    </xf>
    <xf numFmtId="4" fontId="0" fillId="0" borderId="12" xfId="1" applyNumberFormat="1" applyFont="1" applyBorder="1"/>
    <xf numFmtId="4" fontId="0" fillId="0" borderId="26" xfId="1" applyNumberFormat="1" applyFont="1" applyBorder="1"/>
    <xf numFmtId="0" fontId="7" fillId="4" borderId="1" xfId="0" applyFont="1" applyFill="1" applyBorder="1" applyAlignment="1" applyProtection="1">
      <alignment horizontal="center"/>
      <protection locked="0"/>
    </xf>
    <xf numFmtId="0" fontId="7" fillId="4" borderId="35" xfId="0" applyFont="1" applyFill="1" applyBorder="1" applyAlignment="1" applyProtection="1">
      <alignment horizontal="center"/>
      <protection locked="0"/>
    </xf>
    <xf numFmtId="0" fontId="3" fillId="4" borderId="35" xfId="0" applyFont="1" applyFill="1" applyBorder="1" applyAlignment="1" applyProtection="1">
      <alignment horizontal="left"/>
      <protection locked="0"/>
    </xf>
    <xf numFmtId="0" fontId="7" fillId="4" borderId="35" xfId="0" applyFont="1" applyFill="1" applyBorder="1" applyAlignment="1" applyProtection="1">
      <alignment horizontal="left"/>
      <protection locked="0"/>
    </xf>
    <xf numFmtId="0" fontId="7" fillId="4" borderId="39" xfId="0" applyFont="1" applyFill="1" applyBorder="1" applyAlignment="1" applyProtection="1">
      <alignment horizontal="left"/>
      <protection locked="0"/>
    </xf>
    <xf numFmtId="0" fontId="8" fillId="4" borderId="39" xfId="0" applyFont="1" applyFill="1" applyBorder="1" applyAlignment="1" applyProtection="1">
      <alignment horizontal="center"/>
      <protection locked="0"/>
    </xf>
    <xf numFmtId="0" fontId="7" fillId="4" borderId="36" xfId="0" applyFont="1" applyFill="1" applyBorder="1" applyAlignment="1" applyProtection="1">
      <alignment horizontal="center"/>
      <protection locked="0"/>
    </xf>
    <xf numFmtId="0" fontId="7" fillId="5" borderId="40" xfId="0" applyFont="1" applyFill="1" applyBorder="1" applyAlignment="1" applyProtection="1">
      <alignment horizontal="center"/>
      <protection locked="0"/>
    </xf>
    <xf numFmtId="0" fontId="7" fillId="5" borderId="15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left"/>
      <protection locked="0"/>
    </xf>
    <xf numFmtId="0" fontId="7" fillId="5" borderId="15" xfId="0" applyFont="1" applyFill="1" applyBorder="1" applyAlignment="1" applyProtection="1">
      <alignment horizontal="left"/>
      <protection locked="0"/>
    </xf>
    <xf numFmtId="0" fontId="7" fillId="5" borderId="16" xfId="0" applyFont="1" applyFill="1" applyBorder="1" applyAlignment="1" applyProtection="1">
      <alignment horizontal="left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0" fontId="7" fillId="5" borderId="16" xfId="0" applyFont="1" applyFill="1" applyBorder="1" applyAlignment="1" applyProtection="1">
      <alignment horizontal="center"/>
      <protection locked="0"/>
    </xf>
    <xf numFmtId="0" fontId="7" fillId="5" borderId="11" xfId="0" applyFont="1" applyFill="1" applyBorder="1" applyAlignment="1" applyProtection="1">
      <alignment horizontal="center"/>
      <protection locked="0"/>
    </xf>
    <xf numFmtId="4" fontId="10" fillId="0" borderId="14" xfId="0" applyNumberFormat="1" applyFon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 vertical="center" wrapText="1"/>
    </xf>
    <xf numFmtId="4" fontId="9" fillId="3" borderId="21" xfId="0" applyNumberFormat="1" applyFont="1" applyFill="1" applyBorder="1" applyAlignment="1">
      <alignment horizontal="right"/>
    </xf>
    <xf numFmtId="2" fontId="3" fillId="3" borderId="23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left"/>
      <protection locked="0"/>
    </xf>
    <xf numFmtId="4" fontId="0" fillId="0" borderId="26" xfId="0" applyNumberFormat="1" applyBorder="1" applyAlignment="1" applyProtection="1">
      <alignment horizontal="left"/>
      <protection locked="0"/>
    </xf>
    <xf numFmtId="2" fontId="0" fillId="3" borderId="23" xfId="0" applyNumberFormat="1" applyFill="1" applyBorder="1" applyAlignment="1" applyProtection="1">
      <alignment horizontal="center"/>
      <protection locked="0"/>
    </xf>
    <xf numFmtId="4" fontId="3" fillId="3" borderId="21" xfId="0" applyNumberFormat="1" applyFont="1" applyFill="1" applyBorder="1" applyAlignment="1" applyProtection="1">
      <alignment horizontal="left"/>
      <protection locked="0"/>
    </xf>
    <xf numFmtId="4" fontId="3" fillId="0" borderId="18" xfId="0" applyNumberFormat="1" applyFont="1" applyBorder="1" applyAlignment="1" applyProtection="1">
      <alignment horizontal="center"/>
      <protection locked="0"/>
    </xf>
    <xf numFmtId="4" fontId="12" fillId="3" borderId="21" xfId="0" applyNumberFormat="1" applyFont="1" applyFill="1" applyBorder="1" applyAlignment="1" applyProtection="1">
      <alignment horizontal="left"/>
      <protection locked="0"/>
    </xf>
    <xf numFmtId="4" fontId="0" fillId="3" borderId="21" xfId="0" applyNumberFormat="1" applyFill="1" applyBorder="1" applyAlignment="1">
      <alignment horizontal="right"/>
    </xf>
    <xf numFmtId="0" fontId="7" fillId="3" borderId="18" xfId="0" applyFont="1" applyFill="1" applyBorder="1" applyAlignment="1" applyProtection="1">
      <alignment horizontal="center"/>
      <protection locked="0"/>
    </xf>
    <xf numFmtId="4" fontId="13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3" borderId="14" xfId="0" applyNumberFormat="1" applyFill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center"/>
      <protection locked="0"/>
    </xf>
    <xf numFmtId="4" fontId="12" fillId="3" borderId="12" xfId="0" applyNumberFormat="1" applyFont="1" applyFill="1" applyBorder="1" applyAlignment="1" applyProtection="1">
      <alignment horizontal="left"/>
      <protection locked="0"/>
    </xf>
    <xf numFmtId="4" fontId="9" fillId="3" borderId="14" xfId="1" applyNumberFormat="1" applyFont="1" applyFill="1" applyBorder="1" applyAlignment="1" applyProtection="1">
      <alignment horizontal="left"/>
      <protection locked="0"/>
    </xf>
    <xf numFmtId="2" fontId="12" fillId="3" borderId="23" xfId="0" applyNumberFormat="1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164" fontId="3" fillId="3" borderId="0" xfId="0" applyNumberFormat="1" applyFont="1" applyFill="1" applyAlignment="1" applyProtection="1">
      <alignment horizontal="center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4" fontId="3" fillId="3" borderId="21" xfId="0" applyNumberFormat="1" applyFont="1" applyFill="1" applyBorder="1" applyAlignment="1">
      <alignment horizontal="right"/>
    </xf>
    <xf numFmtId="0" fontId="0" fillId="0" borderId="21" xfId="0" applyBorder="1"/>
    <xf numFmtId="4" fontId="0" fillId="3" borderId="27" xfId="1" applyNumberFormat="1" applyFont="1" applyFill="1" applyBorder="1" applyAlignment="1">
      <alignment horizontal="left"/>
    </xf>
    <xf numFmtId="43" fontId="0" fillId="0" borderId="41" xfId="1" applyFont="1" applyBorder="1" applyAlignment="1">
      <alignment horizontal="center"/>
    </xf>
    <xf numFmtId="0" fontId="0" fillId="0" borderId="19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4" fontId="0" fillId="0" borderId="42" xfId="0" applyNumberFormat="1" applyBorder="1" applyProtection="1">
      <protection locked="0"/>
    </xf>
    <xf numFmtId="0" fontId="0" fillId="0" borderId="43" xfId="0" applyBorder="1" applyAlignment="1" applyProtection="1">
      <alignment horizontal="center"/>
      <protection locked="0"/>
    </xf>
    <xf numFmtId="4" fontId="0" fillId="0" borderId="35" xfId="0" applyNumberFormat="1" applyBorder="1" applyProtection="1">
      <protection locked="0"/>
    </xf>
    <xf numFmtId="4" fontId="0" fillId="0" borderId="36" xfId="0" applyNumberFormat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44" xfId="0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left"/>
      <protection locked="0"/>
    </xf>
    <xf numFmtId="4" fontId="0" fillId="0" borderId="44" xfId="1" applyNumberFormat="1" applyFont="1" applyBorder="1" applyAlignment="1">
      <alignment horizontal="left"/>
    </xf>
    <xf numFmtId="4" fontId="0" fillId="0" borderId="45" xfId="1" applyNumberFormat="1" applyFont="1" applyBorder="1" applyAlignment="1">
      <alignment horizontal="left"/>
    </xf>
    <xf numFmtId="4" fontId="0" fillId="0" borderId="46" xfId="0" applyNumberFormat="1" applyBorder="1" applyAlignment="1">
      <alignment horizontal="right"/>
    </xf>
    <xf numFmtId="2" fontId="0" fillId="0" borderId="47" xfId="0" applyNumberFormat="1" applyBorder="1" applyAlignment="1">
      <alignment horizontal="center"/>
    </xf>
    <xf numFmtId="4" fontId="0" fillId="0" borderId="44" xfId="1" applyNumberFormat="1" applyFont="1" applyBorder="1"/>
    <xf numFmtId="4" fontId="0" fillId="0" borderId="45" xfId="1" applyNumberFormat="1" applyFont="1" applyBorder="1"/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20" xfId="0" applyFill="1" applyBorder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left"/>
      <protection locked="0"/>
    </xf>
    <xf numFmtId="0" fontId="0" fillId="3" borderId="18" xfId="0" applyFill="1" applyBorder="1" applyProtection="1">
      <protection locked="0"/>
    </xf>
    <xf numFmtId="0" fontId="3" fillId="3" borderId="19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4" fontId="9" fillId="0" borderId="14" xfId="0" applyNumberFormat="1" applyFont="1" applyBorder="1" applyAlignment="1" applyProtection="1">
      <alignment horizontal="left"/>
      <protection locked="0"/>
    </xf>
    <xf numFmtId="39" fontId="0" fillId="0" borderId="14" xfId="0" applyNumberFormat="1" applyBorder="1" applyProtection="1">
      <protection locked="0"/>
    </xf>
    <xf numFmtId="8" fontId="10" fillId="0" borderId="0" xfId="0" applyNumberFormat="1" applyFont="1" applyAlignment="1">
      <alignment horizontal="right" vertical="center"/>
    </xf>
    <xf numFmtId="4" fontId="0" fillId="3" borderId="21" xfId="0" applyNumberFormat="1" applyFill="1" applyBorder="1" applyProtection="1">
      <protection locked="0"/>
    </xf>
    <xf numFmtId="4" fontId="3" fillId="3" borderId="21" xfId="1" applyNumberFormat="1" applyFill="1" applyBorder="1" applyProtection="1">
      <protection locked="0"/>
    </xf>
    <xf numFmtId="4" fontId="3" fillId="0" borderId="21" xfId="1" applyNumberFormat="1" applyBorder="1" applyProtection="1">
      <protection locked="0"/>
    </xf>
    <xf numFmtId="4" fontId="0" fillId="3" borderId="26" xfId="0" applyNumberFormat="1" applyFill="1" applyBorder="1" applyAlignment="1" applyProtection="1">
      <alignment horizontal="left"/>
      <protection locked="0"/>
    </xf>
    <xf numFmtId="4" fontId="0" fillId="3" borderId="21" xfId="0" applyNumberFormat="1" applyFill="1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4" fontId="9" fillId="3" borderId="25" xfId="0" applyNumberFormat="1" applyFont="1" applyFill="1" applyBorder="1" applyAlignment="1">
      <alignment horizontal="right"/>
    </xf>
    <xf numFmtId="0" fontId="3" fillId="3" borderId="21" xfId="0" applyFont="1" applyFill="1" applyBorder="1" applyProtection="1">
      <protection locked="0"/>
    </xf>
    <xf numFmtId="4" fontId="13" fillId="3" borderId="21" xfId="0" applyNumberFormat="1" applyFont="1" applyFill="1" applyBorder="1" applyAlignment="1" applyProtection="1">
      <alignment horizontal="center"/>
      <protection locked="0"/>
    </xf>
    <xf numFmtId="0" fontId="0" fillId="3" borderId="21" xfId="0" applyFill="1" applyBorder="1" applyProtection="1">
      <protection locked="0"/>
    </xf>
    <xf numFmtId="0" fontId="0" fillId="3" borderId="31" xfId="0" applyFill="1" applyBorder="1" applyAlignment="1" applyProtection="1">
      <alignment horizontal="center"/>
      <protection locked="0"/>
    </xf>
    <xf numFmtId="39" fontId="0" fillId="0" borderId="12" xfId="0" applyNumberFormat="1" applyBorder="1" applyProtection="1">
      <protection locked="0"/>
    </xf>
    <xf numFmtId="39" fontId="0" fillId="0" borderId="26" xfId="0" applyNumberFormat="1" applyBorder="1" applyProtection="1">
      <protection locked="0"/>
    </xf>
    <xf numFmtId="4" fontId="0" fillId="3" borderId="7" xfId="0" applyNumberFormat="1" applyFill="1" applyBorder="1" applyAlignment="1">
      <alignment horizontal="right"/>
    </xf>
    <xf numFmtId="2" fontId="0" fillId="3" borderId="21" xfId="0" applyNumberFormat="1" applyFill="1" applyBorder="1" applyAlignment="1" applyProtection="1">
      <alignment horizontal="center"/>
      <protection locked="0"/>
    </xf>
    <xf numFmtId="2" fontId="3" fillId="0" borderId="21" xfId="0" applyNumberFormat="1" applyFont="1" applyBorder="1" applyAlignment="1" applyProtection="1">
      <alignment horizontal="center"/>
      <protection locked="0"/>
    </xf>
    <xf numFmtId="4" fontId="0" fillId="0" borderId="27" xfId="0" applyNumberFormat="1" applyBorder="1" applyAlignment="1">
      <alignment horizontal="left"/>
    </xf>
    <xf numFmtId="39" fontId="0" fillId="0" borderId="33" xfId="0" applyNumberFormat="1" applyBorder="1"/>
    <xf numFmtId="4" fontId="0" fillId="0" borderId="47" xfId="1" applyNumberFormat="1" applyFont="1" applyBorder="1" applyAlignment="1">
      <alignment horizontal="center"/>
    </xf>
    <xf numFmtId="0" fontId="7" fillId="4" borderId="26" xfId="0" applyFont="1" applyFill="1" applyBorder="1" applyAlignment="1" applyProtection="1">
      <alignment horizontal="left"/>
      <protection locked="0"/>
    </xf>
    <xf numFmtId="0" fontId="7" fillId="4" borderId="48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0" fontId="7" fillId="4" borderId="49" xfId="0" applyFont="1" applyFill="1" applyBorder="1" applyAlignment="1" applyProtection="1">
      <alignment horizontal="center"/>
      <protection locked="0"/>
    </xf>
    <xf numFmtId="0" fontId="7" fillId="4" borderId="50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48" xfId="0" applyBorder="1" applyProtection="1">
      <protection locked="0"/>
    </xf>
    <xf numFmtId="0" fontId="0" fillId="0" borderId="32" xfId="0" applyBorder="1" applyProtection="1">
      <protection locked="0"/>
    </xf>
    <xf numFmtId="0" fontId="14" fillId="0" borderId="44" xfId="0" applyFont="1" applyBorder="1" applyProtection="1">
      <protection locked="0"/>
    </xf>
    <xf numFmtId="4" fontId="14" fillId="0" borderId="44" xfId="1" applyNumberFormat="1" applyFont="1" applyBorder="1" applyAlignment="1">
      <alignment horizontal="left"/>
    </xf>
    <xf numFmtId="0" fontId="0" fillId="0" borderId="47" xfId="0" applyBorder="1" applyAlignment="1">
      <alignment horizontal="center"/>
    </xf>
    <xf numFmtId="4" fontId="14" fillId="0" borderId="44" xfId="1" applyNumberFormat="1" applyFont="1" applyBorder="1"/>
    <xf numFmtId="4" fontId="14" fillId="0" borderId="45" xfId="1" applyNumberFormat="1" applyFont="1" applyBorder="1"/>
    <xf numFmtId="4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0" fillId="4" borderId="26" xfId="0" applyNumberFormat="1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4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51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5" xfId="0" applyFill="1" applyBorder="1" applyProtection="1">
      <protection locked="0"/>
    </xf>
    <xf numFmtId="164" fontId="0" fillId="4" borderId="32" xfId="0" applyNumberFormat="1" applyFill="1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/>
      <protection locked="0"/>
    </xf>
    <xf numFmtId="0" fontId="0" fillId="4" borderId="53" xfId="0" applyFill="1" applyBorder="1" applyAlignment="1" applyProtection="1">
      <alignment horizontal="center"/>
      <protection locked="0"/>
    </xf>
    <xf numFmtId="0" fontId="0" fillId="4" borderId="43" xfId="0" applyFill="1" applyBorder="1" applyProtection="1">
      <protection locked="0"/>
    </xf>
    <xf numFmtId="164" fontId="14" fillId="4" borderId="14" xfId="0" applyNumberFormat="1" applyFont="1" applyFill="1" applyBorder="1" applyAlignment="1" applyProtection="1">
      <alignment horizontal="center"/>
      <protection locked="0"/>
    </xf>
    <xf numFmtId="0" fontId="14" fillId="4" borderId="23" xfId="0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 applyProtection="1">
      <alignment horizontal="center"/>
      <protection locked="0"/>
    </xf>
    <xf numFmtId="4" fontId="0" fillId="0" borderId="54" xfId="0" applyNumberFormat="1" applyBorder="1"/>
    <xf numFmtId="164" fontId="0" fillId="0" borderId="18" xfId="0" applyNumberFormat="1" applyBorder="1" applyAlignment="1" applyProtection="1">
      <alignment horizontal="center"/>
      <protection locked="0"/>
    </xf>
    <xf numFmtId="16" fontId="3" fillId="0" borderId="18" xfId="0" applyNumberFormat="1" applyFont="1" applyBorder="1" applyAlignment="1" applyProtection="1">
      <alignment horizontal="center"/>
      <protection locked="0"/>
    </xf>
    <xf numFmtId="43" fontId="3" fillId="0" borderId="18" xfId="0" applyNumberFormat="1" applyFont="1" applyBorder="1" applyAlignment="1" applyProtection="1">
      <alignment horizontal="left"/>
      <protection locked="0"/>
    </xf>
    <xf numFmtId="43" fontId="0" fillId="3" borderId="18" xfId="0" applyNumberFormat="1" applyFill="1" applyBorder="1" applyAlignment="1" applyProtection="1">
      <alignment horizontal="center"/>
      <protection locked="0"/>
    </xf>
    <xf numFmtId="43" fontId="0" fillId="3" borderId="18" xfId="0" applyNumberFormat="1" applyFill="1" applyBorder="1" applyAlignment="1" applyProtection="1">
      <alignment horizontal="right"/>
      <protection locked="0"/>
    </xf>
    <xf numFmtId="43" fontId="0" fillId="0" borderId="18" xfId="0" applyNumberFormat="1" applyBorder="1" applyAlignment="1" applyProtection="1">
      <alignment horizontal="right"/>
      <protection locked="0"/>
    </xf>
    <xf numFmtId="43" fontId="0" fillId="0" borderId="55" xfId="0" applyNumberFormat="1" applyBorder="1" applyAlignment="1" applyProtection="1">
      <alignment horizontal="right"/>
      <protection locked="0"/>
    </xf>
    <xf numFmtId="43" fontId="0" fillId="0" borderId="18" xfId="0" applyNumberFormat="1" applyBorder="1" applyProtection="1">
      <protection locked="0"/>
    </xf>
    <xf numFmtId="43" fontId="0" fillId="0" borderId="21" xfId="0" applyNumberFormat="1" applyBorder="1" applyAlignment="1" applyProtection="1">
      <alignment horizontal="right"/>
      <protection locked="0"/>
    </xf>
    <xf numFmtId="4" fontId="0" fillId="0" borderId="18" xfId="0" applyNumberFormat="1" applyBorder="1"/>
    <xf numFmtId="16" fontId="3" fillId="0" borderId="21" xfId="0" applyNumberFormat="1" applyFont="1" applyBorder="1" applyAlignment="1" applyProtection="1">
      <alignment horizontal="center"/>
      <protection locked="0"/>
    </xf>
    <xf numFmtId="43" fontId="3" fillId="0" borderId="21" xfId="0" applyNumberFormat="1" applyFont="1" applyBorder="1" applyAlignment="1" applyProtection="1">
      <alignment horizontal="left"/>
      <protection locked="0"/>
    </xf>
    <xf numFmtId="43" fontId="0" fillId="0" borderId="21" xfId="0" applyNumberFormat="1" applyBorder="1" applyAlignment="1" applyProtection="1">
      <alignment horizontal="center"/>
      <protection locked="0"/>
    </xf>
    <xf numFmtId="43" fontId="0" fillId="0" borderId="56" xfId="0" applyNumberFormat="1" applyBorder="1" applyAlignment="1" applyProtection="1">
      <alignment horizontal="right"/>
      <protection locked="0"/>
    </xf>
    <xf numFmtId="0" fontId="0" fillId="0" borderId="14" xfId="0" applyBorder="1"/>
    <xf numFmtId="2" fontId="0" fillId="0" borderId="0" xfId="0" applyNumberFormat="1" applyAlignment="1">
      <alignment horizontal="right"/>
    </xf>
    <xf numFmtId="43" fontId="0" fillId="0" borderId="14" xfId="0" applyNumberFormat="1" applyBorder="1" applyAlignment="1" applyProtection="1">
      <alignment horizontal="right"/>
      <protection locked="0"/>
    </xf>
    <xf numFmtId="0" fontId="0" fillId="0" borderId="56" xfId="0" applyBorder="1"/>
    <xf numFmtId="164" fontId="0" fillId="3" borderId="21" xfId="0" applyNumberFormat="1" applyFill="1" applyBorder="1" applyAlignment="1" applyProtection="1">
      <alignment horizontal="center"/>
      <protection locked="0"/>
    </xf>
    <xf numFmtId="43" fontId="0" fillId="0" borderId="57" xfId="0" applyNumberFormat="1" applyBorder="1" applyAlignment="1" applyProtection="1">
      <alignment horizontal="right"/>
      <protection locked="0"/>
    </xf>
    <xf numFmtId="43" fontId="0" fillId="0" borderId="21" xfId="0" applyNumberFormat="1" applyBorder="1" applyAlignment="1" applyProtection="1">
      <alignment horizontal="left"/>
      <protection locked="0"/>
    </xf>
    <xf numFmtId="43" fontId="0" fillId="0" borderId="57" xfId="1" applyFont="1" applyBorder="1" applyAlignment="1" applyProtection="1">
      <alignment horizontal="right"/>
      <protection locked="0"/>
    </xf>
    <xf numFmtId="43" fontId="0" fillId="0" borderId="21" xfId="1" applyFont="1" applyBorder="1" applyAlignment="1" applyProtection="1">
      <alignment horizontal="right"/>
      <protection locked="0"/>
    </xf>
    <xf numFmtId="43" fontId="0" fillId="0" borderId="14" xfId="1" applyFont="1" applyBorder="1" applyAlignment="1" applyProtection="1">
      <alignment horizontal="right"/>
      <protection locked="0"/>
    </xf>
    <xf numFmtId="43" fontId="0" fillId="0" borderId="21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  <xf numFmtId="43" fontId="0" fillId="0" borderId="12" xfId="0" applyNumberFormat="1" applyBorder="1" applyProtection="1">
      <protection locked="0"/>
    </xf>
    <xf numFmtId="43" fontId="0" fillId="0" borderId="12" xfId="0" applyNumberFormat="1" applyBorder="1" applyAlignment="1" applyProtection="1">
      <alignment horizontal="right"/>
      <protection locked="0"/>
    </xf>
    <xf numFmtId="43" fontId="0" fillId="0" borderId="58" xfId="0" applyNumberFormat="1" applyBorder="1" applyAlignment="1" applyProtection="1">
      <alignment horizontal="right"/>
      <protection locked="0"/>
    </xf>
    <xf numFmtId="43" fontId="0" fillId="0" borderId="5" xfId="0" applyNumberFormat="1" applyBorder="1" applyAlignment="1" applyProtection="1">
      <alignment horizontal="right"/>
      <protection locked="0"/>
    </xf>
    <xf numFmtId="43" fontId="0" fillId="0" borderId="26" xfId="0" applyNumberFormat="1" applyBorder="1" applyAlignment="1" applyProtection="1">
      <alignment horizontal="right"/>
      <protection locked="0"/>
    </xf>
    <xf numFmtId="164" fontId="0" fillId="0" borderId="59" xfId="0" applyNumberFormat="1" applyBorder="1" applyProtection="1">
      <protection locked="0"/>
    </xf>
    <xf numFmtId="0" fontId="0" fillId="0" borderId="60" xfId="0" applyBorder="1" applyProtection="1">
      <protection locked="0"/>
    </xf>
    <xf numFmtId="43" fontId="0" fillId="0" borderId="60" xfId="0" applyNumberFormat="1" applyBorder="1"/>
    <xf numFmtId="43" fontId="0" fillId="0" borderId="60" xfId="1" applyFont="1" applyBorder="1"/>
    <xf numFmtId="43" fontId="0" fillId="0" borderId="61" xfId="1" applyFont="1" applyBorder="1"/>
    <xf numFmtId="43" fontId="0" fillId="0" borderId="62" xfId="1" applyFont="1" applyBorder="1" applyAlignment="1">
      <alignment horizontal="right"/>
    </xf>
    <xf numFmtId="43" fontId="0" fillId="0" borderId="63" xfId="1" applyFont="1" applyBorder="1" applyAlignment="1">
      <alignment horizontal="right"/>
    </xf>
    <xf numFmtId="43" fontId="0" fillId="0" borderId="61" xfId="1" applyFont="1" applyBorder="1" applyAlignment="1">
      <alignment horizontal="right"/>
    </xf>
    <xf numFmtId="43" fontId="0" fillId="0" borderId="62" xfId="1" applyFont="1" applyBorder="1"/>
    <xf numFmtId="43" fontId="0" fillId="0" borderId="0" xfId="1" applyFont="1" applyAlignment="1" applyProtection="1">
      <alignment horizontal="right"/>
      <protection locked="0"/>
    </xf>
    <xf numFmtId="43" fontId="0" fillId="0" borderId="0" xfId="1" applyFont="1" applyProtection="1">
      <protection locked="0"/>
    </xf>
    <xf numFmtId="39" fontId="0" fillId="0" borderId="0" xfId="0" applyNumberFormat="1"/>
    <xf numFmtId="39" fontId="0" fillId="0" borderId="0" xfId="1" applyNumberFormat="1" applyFont="1"/>
    <xf numFmtId="39" fontId="0" fillId="0" borderId="0" xfId="0" applyNumberFormat="1" applyProtection="1">
      <protection locked="0"/>
    </xf>
    <xf numFmtId="39" fontId="0" fillId="0" borderId="54" xfId="1" applyNumberFormat="1" applyFont="1" applyBorder="1"/>
    <xf numFmtId="4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2" fontId="0" fillId="3" borderId="0" xfId="0" applyNumberFormat="1" applyFill="1" applyProtection="1">
      <protection locked="0"/>
    </xf>
    <xf numFmtId="167" fontId="0" fillId="0" borderId="0" xfId="0" applyNumberFormat="1" applyProtection="1">
      <protection locked="0"/>
    </xf>
    <xf numFmtId="164" fontId="0" fillId="4" borderId="24" xfId="0" applyNumberForma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43" fontId="0" fillId="5" borderId="21" xfId="0" applyNumberFormat="1" applyFill="1" applyBorder="1" applyAlignment="1" applyProtection="1">
      <alignment horizontal="left"/>
      <protection locked="0"/>
    </xf>
    <xf numFmtId="0" fontId="0" fillId="4" borderId="64" xfId="0" applyFill="1" applyBorder="1" applyAlignment="1" applyProtection="1">
      <alignment horizontal="center"/>
      <protection locked="0"/>
    </xf>
    <xf numFmtId="39" fontId="0" fillId="4" borderId="29" xfId="0" applyNumberFormat="1" applyFill="1" applyBorder="1" applyProtection="1">
      <protection locked="0"/>
    </xf>
    <xf numFmtId="4" fontId="0" fillId="5" borderId="18" xfId="0" applyNumberFormat="1" applyFill="1" applyBorder="1"/>
    <xf numFmtId="4" fontId="0" fillId="0" borderId="21" xfId="0" applyNumberFormat="1" applyBorder="1" applyAlignment="1">
      <alignment horizontal="right"/>
    </xf>
    <xf numFmtId="2" fontId="0" fillId="0" borderId="21" xfId="0" applyNumberFormat="1" applyBorder="1" applyAlignment="1" applyProtection="1">
      <alignment horizontal="right"/>
      <protection locked="0"/>
    </xf>
    <xf numFmtId="2" fontId="0" fillId="0" borderId="14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2" fontId="0" fillId="0" borderId="21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left"/>
      <protection locked="0"/>
    </xf>
    <xf numFmtId="2" fontId="0" fillId="0" borderId="21" xfId="0" applyNumberFormat="1" applyBorder="1" applyProtection="1">
      <protection locked="0"/>
    </xf>
    <xf numFmtId="164" fontId="0" fillId="0" borderId="21" xfId="0" applyNumberFormat="1" applyBorder="1" applyProtection="1">
      <protection locked="0"/>
    </xf>
    <xf numFmtId="43" fontId="0" fillId="0" borderId="0" xfId="0" applyNumberFormat="1"/>
    <xf numFmtId="43" fontId="0" fillId="0" borderId="0" xfId="0" applyNumberFormat="1" applyProtection="1">
      <protection locked="0"/>
    </xf>
    <xf numFmtId="4" fontId="0" fillId="3" borderId="0" xfId="0" applyNumberFormat="1" applyFill="1" applyProtection="1">
      <protection locked="0"/>
    </xf>
    <xf numFmtId="168" fontId="0" fillId="0" borderId="0" xfId="0" applyNumberFormat="1" applyProtection="1">
      <protection locked="0"/>
    </xf>
    <xf numFmtId="2" fontId="0" fillId="0" borderId="0" xfId="0" applyNumberFormat="1"/>
    <xf numFmtId="43" fontId="0" fillId="3" borderId="55" xfId="0" applyNumberFormat="1" applyFill="1" applyBorder="1" applyAlignment="1" applyProtection="1">
      <alignment horizontal="right"/>
      <protection locked="0"/>
    </xf>
    <xf numFmtId="43" fontId="0" fillId="0" borderId="14" xfId="0" applyNumberFormat="1" applyBorder="1" applyProtection="1">
      <protection locked="0"/>
    </xf>
    <xf numFmtId="43" fontId="0" fillId="3" borderId="21" xfId="0" applyNumberFormat="1" applyFill="1" applyBorder="1" applyAlignment="1" applyProtection="1">
      <alignment horizontal="center"/>
      <protection locked="0"/>
    </xf>
    <xf numFmtId="43" fontId="0" fillId="3" borderId="21" xfId="0" applyNumberFormat="1" applyFill="1" applyBorder="1" applyAlignment="1" applyProtection="1">
      <alignment horizontal="right"/>
      <protection locked="0"/>
    </xf>
    <xf numFmtId="43" fontId="0" fillId="3" borderId="56" xfId="0" applyNumberFormat="1" applyFill="1" applyBorder="1" applyAlignment="1" applyProtection="1">
      <alignment horizontal="right"/>
      <protection locked="0"/>
    </xf>
    <xf numFmtId="0" fontId="0" fillId="3" borderId="21" xfId="0" applyFill="1" applyBorder="1"/>
    <xf numFmtId="4" fontId="0" fillId="3" borderId="21" xfId="0" applyNumberFormat="1" applyFill="1" applyBorder="1" applyAlignment="1" applyProtection="1">
      <alignment horizontal="right"/>
      <protection locked="0"/>
    </xf>
    <xf numFmtId="43" fontId="0" fillId="3" borderId="21" xfId="0" applyNumberFormat="1" applyFill="1" applyBorder="1" applyProtection="1">
      <protection locked="0"/>
    </xf>
    <xf numFmtId="4" fontId="0" fillId="0" borderId="0" xfId="0" applyNumberFormat="1"/>
    <xf numFmtId="169" fontId="0" fillId="0" borderId="0" xfId="0" applyNumberFormat="1" applyProtection="1">
      <protection locked="0"/>
    </xf>
    <xf numFmtId="43" fontId="0" fillId="0" borderId="21" xfId="0" applyNumberFormat="1" applyBorder="1"/>
    <xf numFmtId="43" fontId="0" fillId="0" borderId="18" xfId="0" applyNumberFormat="1" applyBorder="1" applyAlignment="1" applyProtection="1">
      <alignment horizontal="center"/>
      <protection locked="0"/>
    </xf>
    <xf numFmtId="43" fontId="0" fillId="0" borderId="65" xfId="0" applyNumberFormat="1" applyBorder="1" applyAlignment="1" applyProtection="1">
      <alignment horizontal="right"/>
      <protection locked="0"/>
    </xf>
    <xf numFmtId="39" fontId="0" fillId="0" borderId="0" xfId="1" applyNumberFormat="1" applyFont="1" applyProtection="1">
      <protection locked="0"/>
    </xf>
    <xf numFmtId="0" fontId="0" fillId="0" borderId="66" xfId="0" applyBorder="1" applyProtection="1">
      <protection locked="0"/>
    </xf>
    <xf numFmtId="0" fontId="14" fillId="0" borderId="67" xfId="0" applyFont="1" applyBorder="1" applyAlignment="1" applyProtection="1">
      <alignment horizontal="center"/>
      <protection locked="0"/>
    </xf>
    <xf numFmtId="0" fontId="0" fillId="0" borderId="68" xfId="0" applyBorder="1" applyProtection="1">
      <protection locked="0"/>
    </xf>
    <xf numFmtId="0" fontId="0" fillId="0" borderId="69" xfId="0" applyBorder="1" applyProtection="1">
      <protection locked="0"/>
    </xf>
    <xf numFmtId="0" fontId="0" fillId="0" borderId="70" xfId="0" applyBorder="1" applyAlignment="1" applyProtection="1">
      <alignment horizontal="center"/>
      <protection locked="0"/>
    </xf>
    <xf numFmtId="44" fontId="0" fillId="0" borderId="70" xfId="0" applyNumberFormat="1" applyBorder="1"/>
    <xf numFmtId="0" fontId="0" fillId="0" borderId="71" xfId="0" applyBorder="1" applyProtection="1">
      <protection locked="0"/>
    </xf>
    <xf numFmtId="44" fontId="0" fillId="0" borderId="72" xfId="0" applyNumberFormat="1" applyBorder="1"/>
    <xf numFmtId="164" fontId="0" fillId="0" borderId="0" xfId="0" applyNumberFormat="1"/>
    <xf numFmtId="0" fontId="0" fillId="0" borderId="59" xfId="0" applyBorder="1" applyProtection="1">
      <protection locked="0"/>
    </xf>
    <xf numFmtId="4" fontId="0" fillId="0" borderId="60" xfId="0" applyNumberFormat="1" applyBorder="1"/>
    <xf numFmtId="44" fontId="0" fillId="0" borderId="73" xfId="0" applyNumberFormat="1" applyBorder="1"/>
    <xf numFmtId="0" fontId="16" fillId="0" borderId="0" xfId="2" applyFont="1" applyAlignment="1">
      <alignment horizontal="left" vertical="center"/>
    </xf>
    <xf numFmtId="0" fontId="17" fillId="0" borderId="0" xfId="2" applyFont="1"/>
    <xf numFmtId="170" fontId="17" fillId="0" borderId="0" xfId="3" applyNumberFormat="1" applyFont="1" applyAlignment="1">
      <alignment horizontal="right"/>
    </xf>
    <xf numFmtId="0" fontId="18" fillId="0" borderId="0" xfId="2" applyFont="1" applyAlignment="1">
      <alignment horizontal="left" wrapText="1"/>
    </xf>
    <xf numFmtId="0" fontId="20" fillId="0" borderId="0" xfId="2" applyFont="1"/>
    <xf numFmtId="0" fontId="18" fillId="0" borderId="0" xfId="2" applyFont="1" applyAlignment="1">
      <alignment horizontal="left" wrapText="1"/>
    </xf>
    <xf numFmtId="0" fontId="20" fillId="2" borderId="14" xfId="2" applyFont="1" applyFill="1" applyBorder="1" applyAlignment="1">
      <alignment horizontal="left" wrapText="1"/>
    </xf>
    <xf numFmtId="0" fontId="20" fillId="2" borderId="23" xfId="2" applyFont="1" applyFill="1" applyBorder="1" applyAlignment="1">
      <alignment horizontal="left" wrapText="1"/>
    </xf>
    <xf numFmtId="0" fontId="20" fillId="2" borderId="57" xfId="2" applyFont="1" applyFill="1" applyBorder="1" applyAlignment="1">
      <alignment horizontal="left" wrapText="1"/>
    </xf>
    <xf numFmtId="0" fontId="20" fillId="0" borderId="0" xfId="2" applyFont="1" applyAlignment="1">
      <alignment horizontal="left" wrapText="1"/>
    </xf>
    <xf numFmtId="170" fontId="20" fillId="0" borderId="0" xfId="3" applyNumberFormat="1" applyFont="1" applyAlignment="1">
      <alignment horizontal="right"/>
    </xf>
    <xf numFmtId="0" fontId="21" fillId="0" borderId="0" xfId="2" applyFont="1"/>
    <xf numFmtId="0" fontId="20" fillId="2" borderId="14" xfId="2" applyFont="1" applyFill="1" applyBorder="1" applyAlignment="1">
      <alignment horizontal="left"/>
    </xf>
    <xf numFmtId="0" fontId="20" fillId="2" borderId="23" xfId="2" applyFont="1" applyFill="1" applyBorder="1" applyAlignment="1">
      <alignment horizontal="left"/>
    </xf>
    <xf numFmtId="0" fontId="20" fillId="2" borderId="57" xfId="2" applyFont="1" applyFill="1" applyBorder="1" applyAlignment="1">
      <alignment horizontal="left"/>
    </xf>
    <xf numFmtId="14" fontId="20" fillId="2" borderId="0" xfId="2" applyNumberFormat="1" applyFont="1" applyFill="1"/>
    <xf numFmtId="0" fontId="22" fillId="0" borderId="0" xfId="2" applyFont="1"/>
    <xf numFmtId="170" fontId="21" fillId="0" borderId="0" xfId="3" applyNumberFormat="1" applyFont="1" applyAlignment="1">
      <alignment horizontal="right"/>
    </xf>
    <xf numFmtId="0" fontId="20" fillId="3" borderId="0" xfId="2" applyFont="1" applyFill="1"/>
    <xf numFmtId="39" fontId="20" fillId="3" borderId="0" xfId="3" applyNumberFormat="1" applyFont="1" applyFill="1"/>
    <xf numFmtId="170" fontId="20" fillId="0" borderId="0" xfId="3" applyNumberFormat="1" applyFont="1"/>
    <xf numFmtId="170" fontId="20" fillId="0" borderId="13" xfId="3" applyNumberFormat="1" applyFont="1" applyBorder="1"/>
    <xf numFmtId="39" fontId="20" fillId="0" borderId="0" xfId="3" applyNumberFormat="1" applyFont="1"/>
    <xf numFmtId="171" fontId="20" fillId="0" borderId="0" xfId="3" applyNumberFormat="1" applyFont="1"/>
    <xf numFmtId="171" fontId="20" fillId="3" borderId="0" xfId="3" applyNumberFormat="1" applyFont="1" applyFill="1"/>
    <xf numFmtId="172" fontId="20" fillId="0" borderId="0" xfId="3" applyNumberFormat="1" applyFont="1"/>
    <xf numFmtId="170" fontId="20" fillId="3" borderId="0" xfId="3" applyNumberFormat="1" applyFont="1" applyFill="1"/>
    <xf numFmtId="170" fontId="21" fillId="0" borderId="0" xfId="3" applyNumberFormat="1" applyFont="1"/>
    <xf numFmtId="39" fontId="21" fillId="0" borderId="74" xfId="3" applyNumberFormat="1" applyFont="1" applyBorder="1"/>
    <xf numFmtId="170" fontId="20" fillId="3" borderId="0" xfId="3" applyNumberFormat="1" applyFont="1" applyFill="1" applyAlignment="1">
      <alignment horizontal="right"/>
    </xf>
    <xf numFmtId="0" fontId="15" fillId="0" borderId="0" xfId="2" applyFont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4" fillId="0" borderId="0" xfId="2" applyFont="1" applyAlignment="1">
      <alignment vertical="top"/>
    </xf>
    <xf numFmtId="0" fontId="23" fillId="0" borderId="0" xfId="2" applyFont="1" applyAlignment="1">
      <alignment wrapText="1"/>
    </xf>
    <xf numFmtId="0" fontId="23" fillId="0" borderId="0" xfId="2" applyFont="1"/>
    <xf numFmtId="0" fontId="24" fillId="0" borderId="0" xfId="2" applyFont="1"/>
    <xf numFmtId="0" fontId="23" fillId="0" borderId="0" xfId="2" applyFont="1" applyAlignment="1">
      <alignment horizontal="left" vertical="center"/>
    </xf>
    <xf numFmtId="3" fontId="14" fillId="3" borderId="0" xfId="2" applyNumberFormat="1" applyFont="1" applyFill="1" applyAlignment="1" applyProtection="1">
      <alignment horizontal="center"/>
      <protection locked="0"/>
    </xf>
    <xf numFmtId="0" fontId="23" fillId="3" borderId="0" xfId="2" applyFont="1" applyFill="1"/>
    <xf numFmtId="0" fontId="26" fillId="0" borderId="0" xfId="2" applyFont="1"/>
    <xf numFmtId="0" fontId="28" fillId="0" borderId="0" xfId="2" applyFont="1" applyAlignment="1">
      <alignment horizontal="left" vertical="center" wrapText="1"/>
    </xf>
    <xf numFmtId="0" fontId="28" fillId="0" borderId="0" xfId="2" applyFont="1" applyAlignment="1">
      <alignment horizontal="left" vertical="center"/>
    </xf>
    <xf numFmtId="0" fontId="30" fillId="0" borderId="0" xfId="2" applyFont="1" applyAlignment="1">
      <alignment horizontal="left" vertical="center" indent="2"/>
    </xf>
    <xf numFmtId="0" fontId="23" fillId="0" borderId="0" xfId="2" applyFont="1" applyAlignment="1">
      <alignment horizontal="center"/>
    </xf>
    <xf numFmtId="0" fontId="31" fillId="0" borderId="0" xfId="2" applyFont="1"/>
    <xf numFmtId="0" fontId="31" fillId="0" borderId="0" xfId="2" applyFont="1" applyAlignment="1">
      <alignment horizontal="center"/>
    </xf>
    <xf numFmtId="0" fontId="31" fillId="0" borderId="0" xfId="2" applyFont="1" applyAlignment="1">
      <alignment horizontal="center" wrapText="1"/>
    </xf>
    <xf numFmtId="0" fontId="23" fillId="6" borderId="21" xfId="2" applyFont="1" applyFill="1" applyBorder="1" applyAlignment="1">
      <alignment wrapText="1"/>
    </xf>
    <xf numFmtId="0" fontId="31" fillId="0" borderId="21" xfId="2" applyFont="1" applyBorder="1" applyAlignment="1">
      <alignment wrapText="1"/>
    </xf>
    <xf numFmtId="3" fontId="14" fillId="7" borderId="8" xfId="2" applyNumberFormat="1" applyFont="1" applyFill="1" applyBorder="1" applyAlignment="1" applyProtection="1">
      <alignment horizontal="center"/>
      <protection locked="0"/>
    </xf>
    <xf numFmtId="3" fontId="23" fillId="0" borderId="0" xfId="2" applyNumberFormat="1" applyFont="1"/>
    <xf numFmtId="10" fontId="23" fillId="0" borderId="0" xfId="2" applyNumberFormat="1" applyFont="1"/>
    <xf numFmtId="0" fontId="23" fillId="0" borderId="21" xfId="2" applyFont="1" applyBorder="1" applyAlignment="1">
      <alignment wrapText="1"/>
    </xf>
    <xf numFmtId="0" fontId="23" fillId="0" borderId="0" xfId="2" applyFont="1" applyAlignment="1">
      <alignment horizontal="left" vertical="center" wrapText="1"/>
    </xf>
    <xf numFmtId="0" fontId="23" fillId="0" borderId="0" xfId="2" applyFont="1" applyAlignment="1">
      <alignment wrapText="1"/>
    </xf>
    <xf numFmtId="0" fontId="23" fillId="0" borderId="75" xfId="2" applyFont="1" applyBorder="1" applyAlignment="1">
      <alignment wrapText="1"/>
    </xf>
    <xf numFmtId="0" fontId="23" fillId="0" borderId="0" xfId="2" applyFont="1" applyAlignment="1">
      <alignment vertical="center"/>
    </xf>
    <xf numFmtId="0" fontId="23" fillId="6" borderId="21" xfId="2" quotePrefix="1" applyFont="1" applyFill="1" applyBorder="1" applyAlignment="1">
      <alignment horizontal="left" wrapText="1"/>
    </xf>
    <xf numFmtId="0" fontId="23" fillId="0" borderId="21" xfId="2" quotePrefix="1" applyFont="1" applyBorder="1" applyAlignment="1">
      <alignment wrapText="1"/>
    </xf>
    <xf numFmtId="0" fontId="23" fillId="0" borderId="0" xfId="2" applyFont="1" applyAlignment="1">
      <alignment vertical="center"/>
    </xf>
    <xf numFmtId="3" fontId="14" fillId="8" borderId="8" xfId="2" applyNumberFormat="1" applyFont="1" applyFill="1" applyBorder="1" applyAlignment="1" applyProtection="1">
      <alignment horizontal="center"/>
      <protection locked="0"/>
    </xf>
    <xf numFmtId="0" fontId="23" fillId="9" borderId="21" xfId="2" applyFont="1" applyFill="1" applyBorder="1" applyAlignment="1">
      <alignment wrapText="1"/>
    </xf>
    <xf numFmtId="3" fontId="14" fillId="0" borderId="0" xfId="2" applyNumberFormat="1" applyFont="1" applyAlignment="1" applyProtection="1">
      <alignment horizontal="center"/>
      <protection locked="0"/>
    </xf>
    <xf numFmtId="0" fontId="23" fillId="0" borderId="0" xfId="2" applyFont="1" applyAlignment="1">
      <alignment horizontal="center" wrapText="1"/>
    </xf>
    <xf numFmtId="0" fontId="31" fillId="10" borderId="21" xfId="2" applyFont="1" applyFill="1" applyBorder="1" applyAlignment="1">
      <alignment horizontal="center" wrapText="1"/>
    </xf>
    <xf numFmtId="0" fontId="34" fillId="0" borderId="0" xfId="2" applyFont="1"/>
    <xf numFmtId="0" fontId="23" fillId="0" borderId="0" xfId="2" applyFont="1" applyAlignment="1">
      <alignment horizontal="left" vertical="top" wrapText="1"/>
    </xf>
    <xf numFmtId="0" fontId="35" fillId="0" borderId="0" xfId="2" applyFont="1"/>
    <xf numFmtId="0" fontId="36" fillId="0" borderId="0" xfId="2" applyFont="1"/>
    <xf numFmtId="0" fontId="1" fillId="0" borderId="0" xfId="2"/>
    <xf numFmtId="0" fontId="2" fillId="0" borderId="0" xfId="2" applyFont="1"/>
    <xf numFmtId="0" fontId="36" fillId="3" borderId="0" xfId="2" applyFont="1" applyFill="1"/>
    <xf numFmtId="4" fontId="36" fillId="3" borderId="0" xfId="2" applyNumberFormat="1" applyFont="1" applyFill="1"/>
    <xf numFmtId="44" fontId="36" fillId="0" borderId="13" xfId="2" applyNumberFormat="1" applyFont="1" applyBorder="1"/>
    <xf numFmtId="44" fontId="36" fillId="0" borderId="0" xfId="2" applyNumberFormat="1" applyFont="1"/>
    <xf numFmtId="44" fontId="2" fillId="0" borderId="54" xfId="2" applyNumberFormat="1" applyFont="1" applyBorder="1"/>
    <xf numFmtId="0" fontId="14" fillId="0" borderId="0" xfId="0" applyFont="1" applyAlignment="1">
      <alignment horizontal="centerContinuous"/>
    </xf>
    <xf numFmtId="4" fontId="14" fillId="0" borderId="0" xfId="0" applyNumberFormat="1" applyFont="1" applyAlignment="1">
      <alignment horizontal="centerContinuous"/>
    </xf>
    <xf numFmtId="0" fontId="0" fillId="0" borderId="0" xfId="0" applyAlignment="1">
      <alignment horizontal="center"/>
    </xf>
    <xf numFmtId="9" fontId="6" fillId="0" borderId="0" xfId="0" applyNumberFormat="1" applyFont="1" applyProtection="1"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0" fontId="37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 locked="0"/>
    </xf>
    <xf numFmtId="4" fontId="3" fillId="0" borderId="0" xfId="1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14" fillId="0" borderId="0" xfId="0" applyFont="1" applyAlignment="1" applyProtection="1">
      <alignment horizontal="left" indent="1"/>
      <protection locked="0"/>
    </xf>
    <xf numFmtId="4" fontId="14" fillId="0" borderId="23" xfId="0" applyNumberFormat="1" applyFont="1" applyBorder="1" applyAlignment="1">
      <alignment horizontal="right"/>
    </xf>
    <xf numFmtId="9" fontId="14" fillId="0" borderId="23" xfId="0" applyNumberFormat="1" applyFont="1" applyBorder="1" applyAlignment="1">
      <alignment horizontal="right"/>
    </xf>
    <xf numFmtId="0" fontId="4" fillId="0" borderId="0" xfId="0" applyFont="1" applyAlignment="1" applyProtection="1">
      <alignment horizontal="left" indent="1"/>
      <protection locked="0"/>
    </xf>
    <xf numFmtId="4" fontId="3" fillId="0" borderId="0" xfId="0" applyNumberFormat="1" applyFont="1" applyAlignment="1">
      <alignment horizontal="right"/>
    </xf>
    <xf numFmtId="0" fontId="6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3" fillId="0" borderId="0" xfId="0" applyFont="1"/>
    <xf numFmtId="0" fontId="38" fillId="0" borderId="0" xfId="0" applyFont="1" applyAlignment="1">
      <alignment wrapText="1"/>
    </xf>
    <xf numFmtId="9" fontId="0" fillId="0" borderId="0" xfId="0" applyNumberFormat="1" applyProtection="1">
      <protection locked="0"/>
    </xf>
    <xf numFmtId="9" fontId="3" fillId="0" borderId="0" xfId="0" applyNumberFormat="1" applyFont="1" applyProtection="1">
      <protection locked="0"/>
    </xf>
    <xf numFmtId="4" fontId="0" fillId="0" borderId="31" xfId="0" applyNumberFormat="1" applyBorder="1" applyAlignment="1">
      <alignment horizontal="right"/>
    </xf>
    <xf numFmtId="4" fontId="14" fillId="0" borderId="23" xfId="1" applyNumberFormat="1" applyFont="1" applyBorder="1" applyAlignment="1">
      <alignment horizontal="right"/>
    </xf>
    <xf numFmtId="9" fontId="14" fillId="0" borderId="23" xfId="0" applyNumberFormat="1" applyFont="1" applyBorder="1" applyProtection="1">
      <protection locked="0"/>
    </xf>
    <xf numFmtId="4" fontId="14" fillId="0" borderId="0" xfId="1" applyNumberFormat="1" applyFont="1" applyAlignment="1">
      <alignment horizontal="right"/>
    </xf>
    <xf numFmtId="0" fontId="39" fillId="0" borderId="0" xfId="0" applyFont="1" applyAlignment="1" applyProtection="1">
      <alignment horizontal="left"/>
      <protection locked="0"/>
    </xf>
    <xf numFmtId="4" fontId="40" fillId="0" borderId="0" xfId="0" applyNumberFormat="1" applyFont="1"/>
    <xf numFmtId="0" fontId="40" fillId="0" borderId="0" xfId="0" applyFont="1"/>
    <xf numFmtId="3" fontId="40" fillId="0" borderId="0" xfId="0" applyNumberFormat="1" applyFont="1"/>
    <xf numFmtId="3" fontId="0" fillId="0" borderId="0" xfId="0" applyNumberFormat="1"/>
    <xf numFmtId="4" fontId="14" fillId="0" borderId="0" xfId="0" applyNumberFormat="1" applyFont="1" applyAlignment="1">
      <alignment horizontal="right"/>
    </xf>
    <xf numFmtId="4" fontId="14" fillId="0" borderId="34" xfId="0" applyNumberFormat="1" applyFont="1" applyBorder="1" applyAlignment="1">
      <alignment horizontal="right"/>
    </xf>
    <xf numFmtId="0" fontId="3" fillId="0" borderId="31" xfId="0" applyFont="1" applyBorder="1" applyProtection="1">
      <protection locked="0"/>
    </xf>
    <xf numFmtId="4" fontId="14" fillId="0" borderId="31" xfId="0" applyNumberFormat="1" applyFont="1" applyBorder="1" applyProtection="1">
      <protection locked="0"/>
    </xf>
    <xf numFmtId="4" fontId="3" fillId="0" borderId="31" xfId="0" applyNumberFormat="1" applyFont="1" applyBorder="1" applyProtection="1">
      <protection locked="0"/>
    </xf>
    <xf numFmtId="0" fontId="3" fillId="0" borderId="2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3" fillId="0" borderId="32" xfId="0" applyFont="1" applyBorder="1" applyProtection="1">
      <protection locked="0"/>
    </xf>
    <xf numFmtId="4" fontId="3" fillId="0" borderId="43" xfId="0" applyNumberFormat="1" applyFont="1" applyBorder="1" applyProtection="1">
      <protection locked="0"/>
    </xf>
    <xf numFmtId="4" fontId="3" fillId="0" borderId="0" xfId="1" applyNumberFormat="1" applyFont="1"/>
    <xf numFmtId="4" fontId="3" fillId="0" borderId="43" xfId="0" applyNumberFormat="1" applyFont="1" applyBorder="1"/>
    <xf numFmtId="4" fontId="3" fillId="0" borderId="0" xfId="0" applyNumberFormat="1" applyFont="1"/>
    <xf numFmtId="4" fontId="3" fillId="0" borderId="23" xfId="0" applyNumberFormat="1" applyFont="1" applyBorder="1"/>
    <xf numFmtId="4" fontId="14" fillId="0" borderId="57" xfId="1" applyNumberFormat="1" applyFont="1" applyBorder="1"/>
    <xf numFmtId="0" fontId="9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11" borderId="12" xfId="2" applyFont="1" applyFill="1" applyBorder="1" applyAlignment="1">
      <alignment horizontal="left"/>
    </xf>
    <xf numFmtId="0" fontId="44" fillId="11" borderId="26" xfId="2" applyFont="1" applyFill="1" applyBorder="1" applyAlignment="1">
      <alignment horizontal="left"/>
    </xf>
    <xf numFmtId="2" fontId="44" fillId="11" borderId="12" xfId="2" applyNumberFormat="1" applyFont="1" applyFill="1" applyBorder="1" applyAlignment="1">
      <alignment horizontal="left"/>
    </xf>
    <xf numFmtId="4" fontId="44" fillId="11" borderId="12" xfId="0" applyNumberFormat="1" applyFont="1" applyFill="1" applyBorder="1" applyAlignment="1">
      <alignment horizontal="left"/>
    </xf>
    <xf numFmtId="4" fontId="41" fillId="0" borderId="0" xfId="0" applyNumberFormat="1" applyFont="1" applyAlignment="1">
      <alignment horizontal="left"/>
    </xf>
    <xf numFmtId="0" fontId="44" fillId="11" borderId="26" xfId="0" applyFont="1" applyFill="1" applyBorder="1" applyAlignment="1">
      <alignment horizontal="center"/>
    </xf>
    <xf numFmtId="0" fontId="44" fillId="11" borderId="5" xfId="0" applyFont="1" applyFill="1" applyBorder="1" applyAlignment="1">
      <alignment horizontal="center"/>
    </xf>
    <xf numFmtId="0" fontId="44" fillId="11" borderId="26" xfId="0" applyFont="1" applyFill="1" applyBorder="1" applyAlignment="1">
      <alignment horizontal="left"/>
    </xf>
    <xf numFmtId="0" fontId="13" fillId="12" borderId="4" xfId="0" applyFont="1" applyFill="1" applyBorder="1" applyAlignment="1">
      <alignment horizontal="left"/>
    </xf>
    <xf numFmtId="0" fontId="44" fillId="11" borderId="24" xfId="2" applyFont="1" applyFill="1" applyBorder="1" applyAlignment="1">
      <alignment horizontal="left"/>
    </xf>
    <xf numFmtId="0" fontId="44" fillId="11" borderId="18" xfId="2" applyFont="1" applyFill="1" applyBorder="1" applyAlignment="1">
      <alignment horizontal="left"/>
    </xf>
    <xf numFmtId="4" fontId="44" fillId="11" borderId="18" xfId="0" applyNumberFormat="1" applyFont="1" applyFill="1" applyBorder="1" applyAlignment="1">
      <alignment horizontal="left"/>
    </xf>
    <xf numFmtId="0" fontId="44" fillId="11" borderId="24" xfId="0" applyFont="1" applyFill="1" applyBorder="1" applyAlignment="1">
      <alignment horizontal="center"/>
    </xf>
    <xf numFmtId="0" fontId="44" fillId="11" borderId="29" xfId="0" applyFont="1" applyFill="1" applyBorder="1" applyAlignment="1">
      <alignment horizontal="center"/>
    </xf>
    <xf numFmtId="0" fontId="44" fillId="11" borderId="32" xfId="0" applyFont="1" applyFill="1" applyBorder="1" applyAlignment="1">
      <alignment horizontal="left"/>
    </xf>
    <xf numFmtId="0" fontId="13" fillId="12" borderId="17" xfId="0" applyFont="1" applyFill="1" applyBorder="1" applyAlignment="1">
      <alignment horizontal="left"/>
    </xf>
    <xf numFmtId="0" fontId="41" fillId="0" borderId="32" xfId="2" applyFont="1" applyBorder="1" applyAlignment="1">
      <alignment horizontal="left"/>
    </xf>
    <xf numFmtId="0" fontId="13" fillId="3" borderId="19" xfId="2" applyFont="1" applyFill="1" applyBorder="1" applyAlignment="1">
      <alignment horizontal="left"/>
    </xf>
    <xf numFmtId="4" fontId="13" fillId="0" borderId="12" xfId="0" applyNumberFormat="1" applyFont="1" applyBorder="1" applyAlignment="1">
      <alignment horizontal="left"/>
    </xf>
    <xf numFmtId="4" fontId="13" fillId="0" borderId="12" xfId="0" applyNumberFormat="1" applyFont="1" applyBorder="1" applyAlignment="1">
      <alignment horizontal="center"/>
    </xf>
    <xf numFmtId="0" fontId="13" fillId="0" borderId="32" xfId="0" applyFont="1" applyBorder="1" applyAlignment="1">
      <alignment horizontal="left"/>
    </xf>
    <xf numFmtId="0" fontId="13" fillId="12" borderId="20" xfId="0" applyFont="1" applyFill="1" applyBorder="1" applyAlignment="1">
      <alignment horizontal="left"/>
    </xf>
    <xf numFmtId="0" fontId="45" fillId="0" borderId="32" xfId="2" applyFont="1" applyBorder="1" applyAlignment="1">
      <alignment horizontal="left" wrapText="1"/>
    </xf>
    <xf numFmtId="0" fontId="13" fillId="0" borderId="32" xfId="2" applyFont="1" applyBorder="1" applyAlignment="1">
      <alignment horizontal="left"/>
    </xf>
    <xf numFmtId="4" fontId="13" fillId="0" borderId="19" xfId="4" applyNumberFormat="1" applyFont="1" applyBorder="1" applyAlignment="1">
      <alignment horizontal="left"/>
    </xf>
    <xf numFmtId="4" fontId="13" fillId="0" borderId="19" xfId="0" applyNumberFormat="1" applyFont="1" applyBorder="1" applyAlignment="1">
      <alignment horizontal="left"/>
    </xf>
    <xf numFmtId="9" fontId="13" fillId="0" borderId="19" xfId="0" applyNumberFormat="1" applyFont="1" applyBorder="1" applyAlignment="1">
      <alignment horizontal="center"/>
    </xf>
    <xf numFmtId="4" fontId="13" fillId="0" borderId="32" xfId="0" applyNumberFormat="1" applyFont="1" applyBorder="1" applyAlignment="1">
      <alignment horizontal="left"/>
    </xf>
    <xf numFmtId="4" fontId="13" fillId="12" borderId="20" xfId="0" applyNumberFormat="1" applyFont="1" applyFill="1" applyBorder="1" applyAlignment="1">
      <alignment horizontal="left"/>
    </xf>
    <xf numFmtId="0" fontId="45" fillId="0" borderId="32" xfId="2" applyFont="1" applyBorder="1" applyAlignment="1">
      <alignment horizontal="left"/>
    </xf>
    <xf numFmtId="4" fontId="13" fillId="0" borderId="18" xfId="4" applyNumberFormat="1" applyFont="1" applyBorder="1" applyAlignment="1">
      <alignment horizontal="left"/>
    </xf>
    <xf numFmtId="0" fontId="41" fillId="5" borderId="12" xfId="2" applyFont="1" applyFill="1" applyBorder="1" applyAlignment="1">
      <alignment horizontal="left"/>
    </xf>
    <xf numFmtId="4" fontId="41" fillId="5" borderId="12" xfId="4" applyNumberFormat="1" applyFont="1" applyFill="1" applyBorder="1" applyAlignment="1">
      <alignment horizontal="left"/>
    </xf>
    <xf numFmtId="4" fontId="41" fillId="13" borderId="21" xfId="0" applyNumberFormat="1" applyFont="1" applyFill="1" applyBorder="1" applyAlignment="1">
      <alignment horizontal="left"/>
    </xf>
    <xf numFmtId="9" fontId="41" fillId="13" borderId="21" xfId="0" applyNumberFormat="1" applyFont="1" applyFill="1" applyBorder="1" applyAlignment="1">
      <alignment horizontal="center"/>
    </xf>
    <xf numFmtId="4" fontId="41" fillId="14" borderId="14" xfId="0" applyNumberFormat="1" applyFont="1" applyFill="1" applyBorder="1" applyAlignment="1">
      <alignment horizontal="left"/>
    </xf>
    <xf numFmtId="0" fontId="41" fillId="0" borderId="26" xfId="2" applyFont="1" applyBorder="1" applyAlignment="1" applyProtection="1">
      <alignment horizontal="left"/>
      <protection locked="0"/>
    </xf>
    <xf numFmtId="0" fontId="41" fillId="0" borderId="12" xfId="2" applyFont="1" applyBorder="1" applyAlignment="1">
      <alignment horizontal="left"/>
    </xf>
    <xf numFmtId="4" fontId="13" fillId="0" borderId="12" xfId="4" applyNumberFormat="1" applyFont="1" applyBorder="1" applyAlignment="1">
      <alignment horizontal="left"/>
    </xf>
    <xf numFmtId="0" fontId="13" fillId="0" borderId="19" xfId="2" applyFont="1" applyBorder="1" applyAlignment="1">
      <alignment horizontal="left"/>
    </xf>
    <xf numFmtId="4" fontId="13" fillId="3" borderId="19" xfId="4" applyNumberFormat="1" applyFont="1" applyFill="1" applyBorder="1" applyAlignment="1">
      <alignment horizontal="left"/>
    </xf>
    <xf numFmtId="4" fontId="13" fillId="3" borderId="43" xfId="4" applyNumberFormat="1" applyFont="1" applyFill="1" applyBorder="1" applyAlignment="1">
      <alignment horizontal="left"/>
    </xf>
    <xf numFmtId="0" fontId="45" fillId="0" borderId="0" xfId="2" applyFont="1" applyAlignment="1">
      <alignment horizontal="left"/>
    </xf>
    <xf numFmtId="4" fontId="13" fillId="3" borderId="19" xfId="2" applyNumberFormat="1" applyFont="1" applyFill="1" applyBorder="1" applyAlignment="1">
      <alignment horizontal="left"/>
    </xf>
    <xf numFmtId="0" fontId="13" fillId="0" borderId="18" xfId="2" applyFont="1" applyBorder="1" applyAlignment="1">
      <alignment horizontal="left"/>
    </xf>
    <xf numFmtId="4" fontId="13" fillId="3" borderId="18" xfId="2" applyNumberFormat="1" applyFont="1" applyFill="1" applyBorder="1" applyAlignment="1">
      <alignment horizontal="left"/>
    </xf>
    <xf numFmtId="0" fontId="41" fillId="5" borderId="44" xfId="2" applyFont="1" applyFill="1" applyBorder="1" applyAlignment="1">
      <alignment horizontal="left"/>
    </xf>
    <xf numFmtId="0" fontId="41" fillId="0" borderId="19" xfId="2" applyFont="1" applyBorder="1" applyAlignment="1">
      <alignment horizontal="left"/>
    </xf>
    <xf numFmtId="0" fontId="13" fillId="0" borderId="0" xfId="2" applyFont="1" applyAlignment="1">
      <alignment horizontal="left"/>
    </xf>
    <xf numFmtId="0" fontId="45" fillId="0" borderId="19" xfId="2" applyFont="1" applyBorder="1" applyAlignment="1">
      <alignment horizontal="left"/>
    </xf>
    <xf numFmtId="0" fontId="41" fillId="5" borderId="45" xfId="2" applyFont="1" applyFill="1" applyBorder="1" applyAlignment="1">
      <alignment horizontal="left"/>
    </xf>
    <xf numFmtId="4" fontId="41" fillId="5" borderId="44" xfId="4" applyNumberFormat="1" applyFont="1" applyFill="1" applyBorder="1" applyAlignment="1">
      <alignment horizontal="left"/>
    </xf>
    <xf numFmtId="0" fontId="41" fillId="5" borderId="54" xfId="2" applyFont="1" applyFill="1" applyBorder="1" applyAlignment="1">
      <alignment horizontal="left"/>
    </xf>
    <xf numFmtId="0" fontId="41" fillId="0" borderId="76" xfId="2" applyFont="1" applyBorder="1" applyAlignment="1">
      <alignment horizontal="left"/>
    </xf>
    <xf numFmtId="0" fontId="13" fillId="0" borderId="77" xfId="2" applyFont="1" applyBorder="1" applyAlignment="1">
      <alignment horizontal="left"/>
    </xf>
    <xf numFmtId="0" fontId="45" fillId="0" borderId="18" xfId="2" applyFont="1" applyBorder="1" applyAlignment="1">
      <alignment horizontal="left"/>
    </xf>
    <xf numFmtId="0" fontId="41" fillId="5" borderId="26" xfId="2" applyFont="1" applyFill="1" applyBorder="1" applyAlignment="1">
      <alignment horizontal="left"/>
    </xf>
    <xf numFmtId="4" fontId="41" fillId="13" borderId="12" xfId="0" applyNumberFormat="1" applyFont="1" applyFill="1" applyBorder="1" applyAlignment="1">
      <alignment horizontal="left"/>
    </xf>
    <xf numFmtId="9" fontId="41" fillId="13" borderId="12" xfId="0" applyNumberFormat="1" applyFont="1" applyFill="1" applyBorder="1" applyAlignment="1">
      <alignment horizontal="center"/>
    </xf>
    <xf numFmtId="4" fontId="41" fillId="14" borderId="26" xfId="0" applyNumberFormat="1" applyFont="1" applyFill="1" applyBorder="1" applyAlignment="1">
      <alignment horizontal="left"/>
    </xf>
    <xf numFmtId="0" fontId="46" fillId="4" borderId="78" xfId="2" applyFont="1" applyFill="1" applyBorder="1" applyAlignment="1" applyProtection="1">
      <alignment horizontal="left"/>
      <protection locked="0"/>
    </xf>
    <xf numFmtId="0" fontId="46" fillId="4" borderId="79" xfId="2" applyFont="1" applyFill="1" applyBorder="1" applyAlignment="1">
      <alignment horizontal="left"/>
    </xf>
    <xf numFmtId="4" fontId="46" fillId="4" borderId="80" xfId="2" applyNumberFormat="1" applyFont="1" applyFill="1" applyBorder="1" applyAlignment="1">
      <alignment horizontal="left"/>
    </xf>
    <xf numFmtId="4" fontId="44" fillId="3" borderId="80" xfId="2" applyNumberFormat="1" applyFont="1" applyFill="1" applyBorder="1" applyAlignment="1">
      <alignment horizontal="left"/>
    </xf>
    <xf numFmtId="4" fontId="46" fillId="3" borderId="80" xfId="2" applyNumberFormat="1" applyFont="1" applyFill="1" applyBorder="1" applyAlignment="1">
      <alignment horizontal="left"/>
    </xf>
    <xf numFmtId="4" fontId="46" fillId="3" borderId="8" xfId="2" applyNumberFormat="1" applyFont="1" applyFill="1" applyBorder="1" applyAlignment="1">
      <alignment horizontal="left"/>
    </xf>
    <xf numFmtId="4" fontId="46" fillId="4" borderId="81" xfId="2" applyNumberFormat="1" applyFont="1" applyFill="1" applyBorder="1" applyAlignment="1">
      <alignment horizontal="left"/>
    </xf>
    <xf numFmtId="4" fontId="46" fillId="4" borderId="79" xfId="2" applyNumberFormat="1" applyFont="1" applyFill="1" applyBorder="1" applyAlignment="1">
      <alignment horizontal="left"/>
    </xf>
    <xf numFmtId="4" fontId="13" fillId="12" borderId="8" xfId="0" applyNumberFormat="1" applyFont="1" applyFill="1" applyBorder="1" applyAlignment="1">
      <alignment horizontal="left"/>
    </xf>
    <xf numFmtId="9" fontId="13" fillId="0" borderId="0" xfId="0" applyNumberFormat="1" applyFont="1" applyAlignment="1">
      <alignment horizontal="left"/>
    </xf>
    <xf numFmtId="0" fontId="47" fillId="3" borderId="0" xfId="2" applyFont="1" applyFill="1" applyAlignment="1">
      <alignment horizontal="left"/>
    </xf>
    <xf numFmtId="0" fontId="13" fillId="3" borderId="0" xfId="2" applyFont="1" applyFill="1" applyAlignment="1">
      <alignment horizontal="left"/>
    </xf>
    <xf numFmtId="4" fontId="13" fillId="3" borderId="0" xfId="4" applyNumberFormat="1" applyFont="1" applyFill="1" applyAlignment="1">
      <alignment horizontal="left"/>
    </xf>
    <xf numFmtId="9" fontId="13" fillId="0" borderId="0" xfId="0" applyNumberFormat="1" applyFont="1" applyAlignment="1">
      <alignment horizontal="center"/>
    </xf>
    <xf numFmtId="0" fontId="44" fillId="15" borderId="1" xfId="2" applyFont="1" applyFill="1" applyBorder="1" applyAlignment="1" applyProtection="1">
      <alignment horizontal="left"/>
      <protection locked="0"/>
    </xf>
    <xf numFmtId="0" fontId="42" fillId="15" borderId="36" xfId="2" applyFont="1" applyFill="1" applyBorder="1" applyAlignment="1" applyProtection="1">
      <alignment horizontal="left"/>
      <protection locked="0"/>
    </xf>
    <xf numFmtId="4" fontId="42" fillId="15" borderId="35" xfId="4" applyNumberFormat="1" applyFont="1" applyFill="1" applyBorder="1" applyAlignment="1">
      <alignment horizontal="left"/>
    </xf>
    <xf numFmtId="0" fontId="42" fillId="15" borderId="39" xfId="0" applyFont="1" applyFill="1" applyBorder="1" applyAlignment="1">
      <alignment horizontal="left"/>
    </xf>
    <xf numFmtId="4" fontId="42" fillId="15" borderId="35" xfId="0" applyNumberFormat="1" applyFont="1" applyFill="1" applyBorder="1" applyAlignment="1">
      <alignment horizontal="left"/>
    </xf>
    <xf numFmtId="4" fontId="42" fillId="15" borderId="39" xfId="0" applyNumberFormat="1" applyFont="1" applyFill="1" applyBorder="1" applyAlignment="1">
      <alignment horizontal="left"/>
    </xf>
    <xf numFmtId="9" fontId="42" fillId="15" borderId="35" xfId="0" applyNumberFormat="1" applyFont="1" applyFill="1" applyBorder="1" applyAlignment="1">
      <alignment horizontal="center"/>
    </xf>
    <xf numFmtId="4" fontId="42" fillId="15" borderId="36" xfId="0" applyNumberFormat="1" applyFont="1" applyFill="1" applyBorder="1" applyAlignment="1">
      <alignment horizontal="left"/>
    </xf>
    <xf numFmtId="0" fontId="13" fillId="0" borderId="82" xfId="2" applyFont="1" applyBorder="1" applyAlignment="1" applyProtection="1">
      <alignment horizontal="left"/>
      <protection locked="0"/>
    </xf>
    <xf numFmtId="0" fontId="13" fillId="0" borderId="32" xfId="2" applyFont="1" applyBorder="1" applyAlignment="1" applyProtection="1">
      <alignment horizontal="left"/>
      <protection locked="0"/>
    </xf>
    <xf numFmtId="0" fontId="41" fillId="5" borderId="83" xfId="2" applyFont="1" applyFill="1" applyBorder="1" applyAlignment="1" applyProtection="1">
      <alignment horizontal="left"/>
      <protection locked="0"/>
    </xf>
    <xf numFmtId="0" fontId="13" fillId="4" borderId="14" xfId="2" applyFont="1" applyFill="1" applyBorder="1" applyAlignment="1" applyProtection="1">
      <alignment horizontal="left"/>
      <protection locked="0"/>
    </xf>
    <xf numFmtId="4" fontId="41" fillId="5" borderId="21" xfId="2" applyNumberFormat="1" applyFont="1" applyFill="1" applyBorder="1" applyAlignment="1" applyProtection="1">
      <alignment horizontal="left"/>
      <protection locked="0"/>
    </xf>
    <xf numFmtId="0" fontId="41" fillId="0" borderId="7" xfId="2" applyFont="1" applyBorder="1" applyAlignment="1" applyProtection="1">
      <alignment horizontal="left"/>
      <protection locked="0"/>
    </xf>
    <xf numFmtId="0" fontId="13" fillId="0" borderId="23" xfId="2" applyFont="1" applyBorder="1" applyAlignment="1" applyProtection="1">
      <alignment horizontal="left"/>
      <protection locked="0"/>
    </xf>
    <xf numFmtId="0" fontId="41" fillId="4" borderId="83" xfId="2" applyFont="1" applyFill="1" applyBorder="1" applyAlignment="1">
      <alignment horizontal="left"/>
    </xf>
    <xf numFmtId="0" fontId="13" fillId="4" borderId="14" xfId="2" applyFont="1" applyFill="1" applyBorder="1" applyAlignment="1">
      <alignment horizontal="left"/>
    </xf>
    <xf numFmtId="4" fontId="13" fillId="5" borderId="21" xfId="4" applyNumberFormat="1" applyFont="1" applyFill="1" applyBorder="1" applyAlignment="1">
      <alignment horizontal="left"/>
    </xf>
    <xf numFmtId="4" fontId="13" fillId="13" borderId="21" xfId="0" applyNumberFormat="1" applyFont="1" applyFill="1" applyBorder="1" applyAlignment="1">
      <alignment horizontal="left"/>
    </xf>
    <xf numFmtId="9" fontId="13" fillId="13" borderId="21" xfId="0" applyNumberFormat="1" applyFont="1" applyFill="1" applyBorder="1" applyAlignment="1">
      <alignment horizontal="center"/>
    </xf>
    <xf numFmtId="0" fontId="41" fillId="0" borderId="84" xfId="2" applyFont="1" applyBorder="1" applyAlignment="1">
      <alignment horizontal="left"/>
    </xf>
    <xf numFmtId="0" fontId="13" fillId="0" borderId="26" xfId="2" applyFont="1" applyBorder="1" applyAlignment="1">
      <alignment horizontal="left"/>
    </xf>
    <xf numFmtId="0" fontId="45" fillId="0" borderId="85" xfId="2" applyFont="1" applyBorder="1" applyAlignment="1">
      <alignment horizontal="left"/>
    </xf>
    <xf numFmtId="4" fontId="13" fillId="0" borderId="19" xfId="2" applyNumberFormat="1" applyFont="1" applyBorder="1" applyAlignment="1">
      <alignment horizontal="left"/>
    </xf>
    <xf numFmtId="0" fontId="41" fillId="5" borderId="86" xfId="2" applyFont="1" applyFill="1" applyBorder="1" applyAlignment="1">
      <alignment horizontal="left"/>
    </xf>
    <xf numFmtId="0" fontId="46" fillId="4" borderId="10" xfId="2" applyFont="1" applyFill="1" applyBorder="1" applyAlignment="1" applyProtection="1">
      <alignment horizontal="left"/>
      <protection locked="0"/>
    </xf>
    <xf numFmtId="0" fontId="46" fillId="4" borderId="33" xfId="2" applyFont="1" applyFill="1" applyBorder="1" applyAlignment="1">
      <alignment horizontal="left"/>
    </xf>
    <xf numFmtId="4" fontId="46" fillId="4" borderId="27" xfId="2" applyNumberFormat="1" applyFont="1" applyFill="1" applyBorder="1" applyAlignment="1">
      <alignment horizontal="left"/>
    </xf>
    <xf numFmtId="0" fontId="42" fillId="0" borderId="16" xfId="0" applyFont="1" applyBorder="1" applyAlignment="1">
      <alignment horizontal="left"/>
    </xf>
    <xf numFmtId="4" fontId="41" fillId="0" borderId="16" xfId="0" applyNumberFormat="1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9" fontId="46" fillId="4" borderId="27" xfId="2" applyNumberFormat="1" applyFont="1" applyFill="1" applyBorder="1" applyAlignment="1">
      <alignment horizontal="center"/>
    </xf>
    <xf numFmtId="4" fontId="46" fillId="4" borderId="33" xfId="2" applyNumberFormat="1" applyFont="1" applyFill="1" applyBorder="1" applyAlignment="1">
      <alignment horizontal="left"/>
    </xf>
    <xf numFmtId="0" fontId="46" fillId="3" borderId="0" xfId="2" applyFont="1" applyFill="1" applyAlignment="1" applyProtection="1">
      <alignment horizontal="left"/>
      <protection locked="0"/>
    </xf>
    <xf numFmtId="0" fontId="46" fillId="3" borderId="0" xfId="2" applyFont="1" applyFill="1" applyAlignment="1">
      <alignment horizontal="left"/>
    </xf>
    <xf numFmtId="4" fontId="46" fillId="3" borderId="0" xfId="2" applyNumberFormat="1" applyFont="1" applyFill="1" applyAlignment="1">
      <alignment horizontal="left"/>
    </xf>
    <xf numFmtId="0" fontId="42" fillId="3" borderId="0" xfId="0" applyFont="1" applyFill="1" applyAlignment="1">
      <alignment horizontal="left"/>
    </xf>
    <xf numFmtId="4" fontId="41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left"/>
    </xf>
    <xf numFmtId="9" fontId="46" fillId="3" borderId="0" xfId="2" applyNumberFormat="1" applyFont="1" applyFill="1" applyAlignment="1">
      <alignment horizontal="center"/>
    </xf>
    <xf numFmtId="4" fontId="42" fillId="0" borderId="0" xfId="0" applyNumberFormat="1" applyFont="1" applyAlignment="1">
      <alignment horizontal="center"/>
    </xf>
    <xf numFmtId="0" fontId="41" fillId="0" borderId="23" xfId="0" applyFont="1" applyBorder="1" applyAlignment="1">
      <alignment horizontal="left"/>
    </xf>
    <xf numFmtId="0" fontId="44" fillId="0" borderId="23" xfId="0" applyFont="1" applyBorder="1" applyAlignment="1">
      <alignment horizontal="left"/>
    </xf>
    <xf numFmtId="4" fontId="41" fillId="0" borderId="23" xfId="0" applyNumberFormat="1" applyFont="1" applyBorder="1" applyAlignment="1">
      <alignment horizontal="left"/>
    </xf>
    <xf numFmtId="4" fontId="44" fillId="0" borderId="23" xfId="0" applyNumberFormat="1" applyFont="1" applyBorder="1" applyAlignment="1">
      <alignment horizontal="left"/>
    </xf>
    <xf numFmtId="4" fontId="42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4" fontId="48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4" fontId="13" fillId="0" borderId="23" xfId="0" applyNumberFormat="1" applyFont="1" applyBorder="1" applyAlignment="1">
      <alignment horizontal="right"/>
    </xf>
    <xf numFmtId="4" fontId="13" fillId="0" borderId="23" xfId="0" applyNumberFormat="1" applyFont="1" applyBorder="1" applyAlignment="1">
      <alignment horizontal="left"/>
    </xf>
  </cellXfs>
  <cellStyles count="5">
    <cellStyle name="Comma" xfId="1" builtinId="3"/>
    <cellStyle name="Comma 2" xfId="3" xr:uid="{F8717B63-B94D-4EEC-8A15-36B88ACCE938}"/>
    <cellStyle name="Normal" xfId="0" builtinId="0"/>
    <cellStyle name="Normal 2 2" xfId="4" xr:uid="{12BB587F-88D9-41E8-8BCF-15591F4BDBFB}"/>
    <cellStyle name="Normal 3" xfId="2" xr:uid="{50FF5BFA-58A3-42B2-AC92-BAEB44BCF2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adb46f231b5d81/Parish%20Council/Accounts/Accounts%20to%20Mar%202022/lgpcaccounts%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tegories"/>
      <sheetName val="Cash book"/>
      <sheetName val="VAT Returns"/>
      <sheetName val="VAT SUB TEMPLATE"/>
      <sheetName val="BVAP"/>
      <sheetName val="Cashbook Database"/>
      <sheetName val="Sheet1"/>
      <sheetName val="Pivot Tables"/>
      <sheetName val="Ledger Receipts"/>
      <sheetName val="Receipts Database"/>
      <sheetName val="VAT Return"/>
      <sheetName val="Bank reconciliation"/>
      <sheetName val="Variances"/>
      <sheetName val="Reserves"/>
      <sheetName val="R&amp;P 1st Qtr"/>
      <sheetName val="R&amp;P 2nd Qtr"/>
      <sheetName val="R&amp;P 3rd Qtr"/>
      <sheetName val="R&amp;P 4th Qtr"/>
      <sheetName val="Annual R&amp;P "/>
      <sheetName val=" Budget"/>
      <sheetName val="Budget"/>
      <sheetName val=" Budget Analysis"/>
      <sheetName val="Public Rep"/>
      <sheetName val="5 Year Plan"/>
      <sheetName val=" Budget Preparation"/>
      <sheetName val="Annual Return Calcs"/>
      <sheetName val="Budget Vs Actual"/>
      <sheetName val="Purchase Order"/>
    </sheetNames>
    <sheetDataSet>
      <sheetData sheetId="0"/>
      <sheetData sheetId="1"/>
      <sheetData sheetId="2">
        <row r="47">
          <cell r="H47">
            <v>546.93000000000006</v>
          </cell>
          <cell r="I47">
            <v>8106.8600000000006</v>
          </cell>
        </row>
        <row r="85">
          <cell r="H85">
            <v>13226.08</v>
          </cell>
          <cell r="I85">
            <v>83064.849999999991</v>
          </cell>
        </row>
        <row r="146">
          <cell r="H146">
            <v>3239.5699999999993</v>
          </cell>
          <cell r="I146">
            <v>25569.9</v>
          </cell>
        </row>
        <row r="186">
          <cell r="H186">
            <v>1887.5199999999995</v>
          </cell>
          <cell r="I186">
            <v>14048.53</v>
          </cell>
        </row>
        <row r="187">
          <cell r="J187">
            <v>130790.14</v>
          </cell>
          <cell r="L187">
            <v>10971.21</v>
          </cell>
        </row>
        <row r="191">
          <cell r="H191">
            <v>18900.099999999999</v>
          </cell>
          <cell r="I191">
            <v>130790.14</v>
          </cell>
          <cell r="L191">
            <v>10971.21</v>
          </cell>
          <cell r="M191">
            <v>3651.7200000000003</v>
          </cell>
          <cell r="N191">
            <v>4181.54</v>
          </cell>
          <cell r="O191">
            <v>1217.3699999999999</v>
          </cell>
          <cell r="P191">
            <v>588.24</v>
          </cell>
          <cell r="Q191">
            <v>2200</v>
          </cell>
          <cell r="R191">
            <v>3308.62</v>
          </cell>
          <cell r="S191">
            <v>214.71999999999997</v>
          </cell>
          <cell r="T191">
            <v>80283.97</v>
          </cell>
          <cell r="U191">
            <v>5272.65</v>
          </cell>
        </row>
      </sheetData>
      <sheetData sheetId="3"/>
      <sheetData sheetId="4"/>
      <sheetData sheetId="5">
        <row r="4">
          <cell r="A4" t="str">
            <v>Row Labels</v>
          </cell>
          <cell r="B4" t="str">
            <v>Q1</v>
          </cell>
          <cell r="C4" t="str">
            <v>Q2</v>
          </cell>
          <cell r="D4" t="str">
            <v>Q3</v>
          </cell>
          <cell r="E4" t="str">
            <v>Q4</v>
          </cell>
          <cell r="F4" t="str">
            <v>Grand Total</v>
          </cell>
        </row>
        <row r="5">
          <cell r="A5">
            <v>1</v>
          </cell>
          <cell r="B5">
            <v>3996.29</v>
          </cell>
          <cell r="C5">
            <v>2300.34</v>
          </cell>
          <cell r="D5">
            <v>2300.34</v>
          </cell>
          <cell r="E5">
            <v>2300.34</v>
          </cell>
          <cell r="F5">
            <v>10897.310000000001</v>
          </cell>
        </row>
        <row r="6">
          <cell r="A6">
            <v>2</v>
          </cell>
          <cell r="B6">
            <v>58.42</v>
          </cell>
          <cell r="C6">
            <v>5.16</v>
          </cell>
          <cell r="D6">
            <v>5.16</v>
          </cell>
          <cell r="E6">
            <v>5.16</v>
          </cell>
          <cell r="F6">
            <v>73.899999999999991</v>
          </cell>
        </row>
        <row r="7">
          <cell r="A7">
            <v>6</v>
          </cell>
          <cell r="B7">
            <v>25</v>
          </cell>
          <cell r="C7">
            <v>15</v>
          </cell>
          <cell r="D7">
            <v>15</v>
          </cell>
          <cell r="E7">
            <v>15.25</v>
          </cell>
          <cell r="F7">
            <v>70.25</v>
          </cell>
        </row>
        <row r="8">
          <cell r="A8">
            <v>7</v>
          </cell>
          <cell r="B8">
            <v>14.11</v>
          </cell>
          <cell r="D8">
            <v>18.43</v>
          </cell>
          <cell r="E8">
            <v>9.49</v>
          </cell>
          <cell r="F8">
            <v>42.03</v>
          </cell>
        </row>
        <row r="9">
          <cell r="A9">
            <v>9</v>
          </cell>
          <cell r="B9">
            <v>167.86</v>
          </cell>
          <cell r="E9">
            <v>192</v>
          </cell>
          <cell r="F9">
            <v>359.86</v>
          </cell>
        </row>
        <row r="10">
          <cell r="A10">
            <v>14</v>
          </cell>
          <cell r="B10">
            <v>10.47</v>
          </cell>
          <cell r="C10">
            <v>17.670000000000002</v>
          </cell>
          <cell r="D10">
            <v>16.47</v>
          </cell>
          <cell r="E10">
            <v>56.46</v>
          </cell>
          <cell r="F10">
            <v>101.07</v>
          </cell>
        </row>
        <row r="11">
          <cell r="A11">
            <v>15</v>
          </cell>
          <cell r="B11">
            <v>80</v>
          </cell>
          <cell r="C11">
            <v>48</v>
          </cell>
          <cell r="D11">
            <v>80.800000000000011</v>
          </cell>
          <cell r="E11">
            <v>40.480000000000004</v>
          </cell>
          <cell r="F11">
            <v>249.28000000000003</v>
          </cell>
        </row>
        <row r="12">
          <cell r="A12">
            <v>23</v>
          </cell>
          <cell r="B12">
            <v>60</v>
          </cell>
          <cell r="C12">
            <v>60</v>
          </cell>
          <cell r="D12">
            <v>60</v>
          </cell>
          <cell r="F12">
            <v>180</v>
          </cell>
        </row>
        <row r="13">
          <cell r="A13">
            <v>26</v>
          </cell>
          <cell r="D13">
            <v>264</v>
          </cell>
          <cell r="F13">
            <v>264</v>
          </cell>
        </row>
        <row r="14">
          <cell r="A14">
            <v>27</v>
          </cell>
          <cell r="B14">
            <v>353.34</v>
          </cell>
          <cell r="C14">
            <v>956.67999999999984</v>
          </cell>
          <cell r="D14">
            <v>550.01</v>
          </cell>
          <cell r="E14">
            <v>530.01</v>
          </cell>
          <cell r="F14">
            <v>2390.04</v>
          </cell>
        </row>
        <row r="15">
          <cell r="A15">
            <v>29</v>
          </cell>
          <cell r="B15">
            <v>89.5</v>
          </cell>
          <cell r="C15">
            <v>50</v>
          </cell>
          <cell r="F15">
            <v>139.5</v>
          </cell>
        </row>
        <row r="16">
          <cell r="A16">
            <v>44</v>
          </cell>
          <cell r="B16">
            <v>13.92</v>
          </cell>
          <cell r="F16">
            <v>13.92</v>
          </cell>
        </row>
        <row r="17">
          <cell r="A17">
            <v>46</v>
          </cell>
          <cell r="B17">
            <v>21.7</v>
          </cell>
          <cell r="D17">
            <v>193.01999999999998</v>
          </cell>
          <cell r="F17">
            <v>214.71999999999997</v>
          </cell>
        </row>
        <row r="18">
          <cell r="A18">
            <v>19</v>
          </cell>
          <cell r="B18">
            <v>211.5</v>
          </cell>
          <cell r="C18">
            <v>300</v>
          </cell>
          <cell r="F18">
            <v>511.5</v>
          </cell>
        </row>
        <row r="19">
          <cell r="A19">
            <v>31</v>
          </cell>
          <cell r="B19">
            <v>312.74</v>
          </cell>
          <cell r="C19">
            <v>302.81</v>
          </cell>
          <cell r="D19">
            <v>311.36</v>
          </cell>
          <cell r="E19">
            <v>290.46000000000004</v>
          </cell>
          <cell r="F19">
            <v>1217.3699999999999</v>
          </cell>
        </row>
        <row r="20">
          <cell r="A20">
            <v>0</v>
          </cell>
          <cell r="D20">
            <v>0</v>
          </cell>
          <cell r="F20">
            <v>0</v>
          </cell>
        </row>
        <row r="21">
          <cell r="A21">
            <v>41</v>
          </cell>
          <cell r="D21">
            <v>550</v>
          </cell>
          <cell r="E21">
            <v>50</v>
          </cell>
          <cell r="F21">
            <v>600</v>
          </cell>
        </row>
        <row r="22">
          <cell r="A22">
            <v>36</v>
          </cell>
          <cell r="B22">
            <v>543.24</v>
          </cell>
          <cell r="F22">
            <v>543.24</v>
          </cell>
        </row>
        <row r="23">
          <cell r="A23">
            <v>30</v>
          </cell>
          <cell r="B23">
            <v>555</v>
          </cell>
          <cell r="C23">
            <v>13.5</v>
          </cell>
          <cell r="D23">
            <v>12.88</v>
          </cell>
          <cell r="E23">
            <v>406.62</v>
          </cell>
          <cell r="F23">
            <v>988</v>
          </cell>
        </row>
        <row r="24">
          <cell r="A24">
            <v>25</v>
          </cell>
          <cell r="B24">
            <v>35</v>
          </cell>
          <cell r="F24">
            <v>35</v>
          </cell>
        </row>
        <row r="25">
          <cell r="A25">
            <v>8</v>
          </cell>
          <cell r="B25">
            <v>31.689999999999998</v>
          </cell>
          <cell r="C25">
            <v>15.84</v>
          </cell>
          <cell r="D25">
            <v>13.16</v>
          </cell>
          <cell r="E25">
            <v>7.92</v>
          </cell>
          <cell r="F25">
            <v>68.61</v>
          </cell>
        </row>
        <row r="26">
          <cell r="A26">
            <v>20</v>
          </cell>
          <cell r="C26">
            <v>1090.54</v>
          </cell>
          <cell r="D26">
            <v>189.58</v>
          </cell>
          <cell r="F26">
            <v>1280.1199999999999</v>
          </cell>
        </row>
        <row r="27">
          <cell r="A27">
            <v>47</v>
          </cell>
          <cell r="B27">
            <v>720</v>
          </cell>
          <cell r="C27">
            <v>64488.229999999996</v>
          </cell>
          <cell r="D27">
            <v>9771.9199999999983</v>
          </cell>
          <cell r="E27">
            <v>5303.82</v>
          </cell>
          <cell r="F27">
            <v>80283.97</v>
          </cell>
        </row>
        <row r="28">
          <cell r="A28">
            <v>28</v>
          </cell>
          <cell r="D28">
            <v>400</v>
          </cell>
          <cell r="F28">
            <v>400</v>
          </cell>
        </row>
        <row r="29">
          <cell r="A29">
            <v>49</v>
          </cell>
          <cell r="B29">
            <v>215.14999999999998</v>
          </cell>
          <cell r="D29">
            <v>4979.5</v>
          </cell>
          <cell r="E29">
            <v>78</v>
          </cell>
          <cell r="F29">
            <v>5272.65</v>
          </cell>
        </row>
        <row r="30">
          <cell r="A30">
            <v>16</v>
          </cell>
          <cell r="D30">
            <v>100</v>
          </cell>
          <cell r="F30">
            <v>100</v>
          </cell>
        </row>
        <row r="31">
          <cell r="A31">
            <v>42</v>
          </cell>
          <cell r="D31">
            <v>1600</v>
          </cell>
          <cell r="F31">
            <v>1600</v>
          </cell>
        </row>
        <row r="32">
          <cell r="A32">
            <v>45</v>
          </cell>
          <cell r="D32">
            <v>719.7</v>
          </cell>
          <cell r="E32">
            <v>180</v>
          </cell>
          <cell r="F32">
            <v>899.7</v>
          </cell>
        </row>
        <row r="33">
          <cell r="A33">
            <v>17</v>
          </cell>
          <cell r="B33">
            <v>25</v>
          </cell>
          <cell r="C33">
            <v>25</v>
          </cell>
          <cell r="D33">
            <v>30</v>
          </cell>
          <cell r="F33">
            <v>80</v>
          </cell>
        </row>
        <row r="34">
          <cell r="A34">
            <v>11</v>
          </cell>
          <cell r="D34">
            <v>124</v>
          </cell>
          <cell r="F34">
            <v>124</v>
          </cell>
        </row>
        <row r="35">
          <cell r="A35">
            <v>33</v>
          </cell>
          <cell r="B35">
            <v>20</v>
          </cell>
          <cell r="D35">
            <v>25</v>
          </cell>
          <cell r="F35">
            <v>45</v>
          </cell>
        </row>
        <row r="36">
          <cell r="A36">
            <v>22</v>
          </cell>
          <cell r="C36">
            <v>150</v>
          </cell>
          <cell r="F36">
            <v>150</v>
          </cell>
        </row>
        <row r="37">
          <cell r="A37">
            <v>10</v>
          </cell>
          <cell r="E37">
            <v>300</v>
          </cell>
          <cell r="F37">
            <v>300</v>
          </cell>
        </row>
        <row r="38">
          <cell r="A38">
            <v>43</v>
          </cell>
          <cell r="E38">
            <v>2395</v>
          </cell>
          <cell r="F38">
            <v>2395</v>
          </cell>
        </row>
        <row r="39">
          <cell r="A39" t="str">
            <v>Grand Total</v>
          </cell>
          <cell r="B39">
            <v>7559.9299999999994</v>
          </cell>
          <cell r="C39">
            <v>69838.76999999999</v>
          </cell>
          <cell r="D39">
            <v>22330.329999999998</v>
          </cell>
          <cell r="E39">
            <v>12161.009999999998</v>
          </cell>
          <cell r="F39">
            <v>111890.04</v>
          </cell>
        </row>
      </sheetData>
      <sheetData sheetId="6"/>
      <sheetData sheetId="7"/>
      <sheetData sheetId="8"/>
      <sheetData sheetId="9">
        <row r="7">
          <cell r="M7">
            <v>59782.11</v>
          </cell>
        </row>
        <row r="21">
          <cell r="D21">
            <v>25441</v>
          </cell>
        </row>
        <row r="110">
          <cell r="I110">
            <v>2536.04</v>
          </cell>
        </row>
        <row r="111">
          <cell r="I111">
            <v>20000</v>
          </cell>
        </row>
        <row r="115">
          <cell r="I115">
            <v>22536.04</v>
          </cell>
        </row>
        <row r="119">
          <cell r="D119">
            <v>25441</v>
          </cell>
        </row>
        <row r="123">
          <cell r="D123">
            <v>25441</v>
          </cell>
          <cell r="E123">
            <v>16.46</v>
          </cell>
          <cell r="F123">
            <v>50029.33</v>
          </cell>
          <cell r="G123">
            <v>17732.28</v>
          </cell>
          <cell r="H123">
            <v>325</v>
          </cell>
          <cell r="I123">
            <v>93544.07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A6" t="str">
            <v>STAFF COSTS</v>
          </cell>
        </row>
        <row r="7">
          <cell r="C7">
            <v>9200</v>
          </cell>
        </row>
        <row r="8">
          <cell r="C8">
            <v>30</v>
          </cell>
        </row>
        <row r="13">
          <cell r="A13" t="str">
            <v>ADMINISTRATION COSTS</v>
          </cell>
        </row>
        <row r="14">
          <cell r="C14">
            <v>72</v>
          </cell>
        </row>
        <row r="15">
          <cell r="C15">
            <v>40</v>
          </cell>
        </row>
        <row r="16">
          <cell r="C16">
            <v>45</v>
          </cell>
        </row>
        <row r="17">
          <cell r="C17">
            <v>300</v>
          </cell>
        </row>
        <row r="18">
          <cell r="C18">
            <v>300</v>
          </cell>
        </row>
        <row r="19">
          <cell r="C19">
            <v>160</v>
          </cell>
        </row>
        <row r="22">
          <cell r="C22">
            <v>80</v>
          </cell>
        </row>
        <row r="23">
          <cell r="C23">
            <v>200</v>
          </cell>
        </row>
        <row r="24">
          <cell r="C24">
            <v>100</v>
          </cell>
        </row>
        <row r="25">
          <cell r="C25">
            <v>100</v>
          </cell>
        </row>
        <row r="26">
          <cell r="C26">
            <v>1000</v>
          </cell>
        </row>
        <row r="27">
          <cell r="C27">
            <v>400</v>
          </cell>
        </row>
        <row r="28">
          <cell r="C28">
            <v>950</v>
          </cell>
        </row>
        <row r="31">
          <cell r="C31">
            <v>222</v>
          </cell>
        </row>
        <row r="33">
          <cell r="C33">
            <v>35</v>
          </cell>
        </row>
        <row r="35">
          <cell r="A35" t="str">
            <v>PARK &amp; OPEN SPACES</v>
          </cell>
        </row>
        <row r="36">
          <cell r="C36">
            <v>240</v>
          </cell>
        </row>
        <row r="37">
          <cell r="C37">
            <v>2400</v>
          </cell>
        </row>
        <row r="38">
          <cell r="C38">
            <v>600</v>
          </cell>
        </row>
        <row r="39">
          <cell r="C39">
            <v>350</v>
          </cell>
        </row>
        <row r="40">
          <cell r="C40">
            <v>1400</v>
          </cell>
        </row>
        <row r="42">
          <cell r="A42" t="str">
            <v>CHURCHYARD</v>
          </cell>
        </row>
        <row r="43">
          <cell r="C43">
            <v>1100</v>
          </cell>
        </row>
        <row r="48">
          <cell r="C48">
            <v>1100</v>
          </cell>
        </row>
        <row r="49">
          <cell r="A49" t="str">
            <v>SUBSCRIPTIONS</v>
          </cell>
        </row>
        <row r="50">
          <cell r="C50">
            <v>550</v>
          </cell>
        </row>
        <row r="51">
          <cell r="C51">
            <v>8</v>
          </cell>
        </row>
        <row r="52">
          <cell r="C52">
            <v>0</v>
          </cell>
        </row>
        <row r="53">
          <cell r="C53">
            <v>20</v>
          </cell>
        </row>
        <row r="54">
          <cell r="C54">
            <v>0</v>
          </cell>
        </row>
        <row r="56">
          <cell r="A56" t="str">
            <v xml:space="preserve">GRANTS &amp; DONATIONS </v>
          </cell>
        </row>
        <row r="57">
          <cell r="C57">
            <v>1000</v>
          </cell>
        </row>
        <row r="58">
          <cell r="C58">
            <v>1600</v>
          </cell>
        </row>
        <row r="60">
          <cell r="A60" t="str">
            <v>OTHER</v>
          </cell>
        </row>
        <row r="61">
          <cell r="C61">
            <v>2300</v>
          </cell>
        </row>
        <row r="62">
          <cell r="C62">
            <v>13</v>
          </cell>
        </row>
        <row r="63">
          <cell r="C63">
            <v>500</v>
          </cell>
        </row>
        <row r="65">
          <cell r="A65" t="str">
            <v>CONTINGENCY</v>
          </cell>
        </row>
        <row r="66">
          <cell r="C66">
            <v>126</v>
          </cell>
        </row>
        <row r="69">
          <cell r="A69" t="str">
            <v>EARMARKED RESERVE FUNDS</v>
          </cell>
        </row>
        <row r="75">
          <cell r="A75" t="str">
            <v xml:space="preserve">CAPITAL 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9F851-D22A-4F68-ADF4-852B06802189}">
  <dimension ref="A1:S88"/>
  <sheetViews>
    <sheetView tabSelected="1" topLeftCell="A60" zoomScaleNormal="100" workbookViewId="0">
      <selection activeCell="M60" sqref="M60"/>
    </sheetView>
  </sheetViews>
  <sheetFormatPr defaultRowHeight="11.5" x14ac:dyDescent="0.25"/>
  <cols>
    <col min="1" max="1" width="26.36328125" style="553" customWidth="1"/>
    <col min="2" max="2" width="8.6328125" style="553" bestFit="1" customWidth="1"/>
    <col min="3" max="3" width="8.54296875" style="553" customWidth="1"/>
    <col min="4" max="4" width="0.90625" style="551" customWidth="1"/>
    <col min="5" max="5" width="7" style="552" customWidth="1"/>
    <col min="6" max="6" width="0.6328125" style="552" customWidth="1"/>
    <col min="7" max="7" width="9" style="552" bestFit="1" customWidth="1"/>
    <col min="8" max="8" width="0.7265625" style="552" customWidth="1"/>
    <col min="9" max="9" width="8.08984375" style="552" bestFit="1" customWidth="1"/>
    <col min="10" max="10" width="1" style="552" customWidth="1"/>
    <col min="11" max="11" width="8.08984375" style="552" bestFit="1" customWidth="1"/>
    <col min="12" max="12" width="0.81640625" style="553" customWidth="1"/>
    <col min="13" max="13" width="9" style="553" bestFit="1" customWidth="1"/>
    <col min="14" max="14" width="8.54296875" style="554" bestFit="1" customWidth="1"/>
    <col min="15" max="15" width="9.81640625" style="553" bestFit="1" customWidth="1"/>
    <col min="16" max="16384" width="8.7265625" style="553"/>
  </cols>
  <sheetData>
    <row r="1" spans="1:16" x14ac:dyDescent="0.25">
      <c r="A1" s="550" t="s">
        <v>405</v>
      </c>
      <c r="B1" s="550"/>
      <c r="C1" s="550"/>
    </row>
    <row r="2" spans="1:16" x14ac:dyDescent="0.25">
      <c r="A2" s="555" t="s">
        <v>406</v>
      </c>
    </row>
    <row r="3" spans="1:16" ht="12" thickBot="1" x14ac:dyDescent="0.3"/>
    <row r="4" spans="1:16" x14ac:dyDescent="0.25">
      <c r="A4" s="556" t="s">
        <v>407</v>
      </c>
      <c r="B4" s="557" t="s">
        <v>262</v>
      </c>
      <c r="C4" s="558" t="s">
        <v>262</v>
      </c>
      <c r="E4" s="559" t="s">
        <v>408</v>
      </c>
      <c r="F4" s="560"/>
      <c r="G4" s="559" t="s">
        <v>408</v>
      </c>
      <c r="H4" s="560"/>
      <c r="I4" s="559" t="s">
        <v>408</v>
      </c>
      <c r="J4" s="560"/>
      <c r="K4" s="559" t="s">
        <v>408</v>
      </c>
      <c r="M4" s="561" t="s">
        <v>26</v>
      </c>
      <c r="N4" s="562" t="s">
        <v>345</v>
      </c>
      <c r="O4" s="563" t="s">
        <v>409</v>
      </c>
      <c r="P4" s="564" t="s">
        <v>410</v>
      </c>
    </row>
    <row r="5" spans="1:16" ht="12" thickBot="1" x14ac:dyDescent="0.3">
      <c r="A5" s="565"/>
      <c r="B5" s="565" t="s">
        <v>34</v>
      </c>
      <c r="C5" s="566" t="s">
        <v>411</v>
      </c>
      <c r="E5" s="567" t="s">
        <v>44</v>
      </c>
      <c r="F5" s="560"/>
      <c r="G5" s="567" t="s">
        <v>120</v>
      </c>
      <c r="H5" s="560"/>
      <c r="I5" s="567" t="s">
        <v>159</v>
      </c>
      <c r="J5" s="560"/>
      <c r="K5" s="567" t="s">
        <v>229</v>
      </c>
      <c r="M5" s="568" t="s">
        <v>412</v>
      </c>
      <c r="N5" s="569" t="s">
        <v>413</v>
      </c>
      <c r="O5" s="570" t="s">
        <v>262</v>
      </c>
      <c r="P5" s="571" t="s">
        <v>262</v>
      </c>
    </row>
    <row r="6" spans="1:16" x14ac:dyDescent="0.25">
      <c r="A6" s="572" t="s">
        <v>383</v>
      </c>
      <c r="B6" s="572"/>
      <c r="C6" s="573"/>
      <c r="E6" s="574"/>
      <c r="G6" s="574"/>
      <c r="I6" s="574"/>
      <c r="K6" s="574"/>
      <c r="M6" s="574"/>
      <c r="N6" s="575"/>
      <c r="O6" s="576"/>
      <c r="P6" s="577"/>
    </row>
    <row r="7" spans="1:16" ht="16" customHeight="1" x14ac:dyDescent="0.3">
      <c r="A7" s="578" t="s">
        <v>414</v>
      </c>
      <c r="B7" s="579" t="s">
        <v>47</v>
      </c>
      <c r="C7" s="580">
        <f>[1]Budget!C7</f>
        <v>9200</v>
      </c>
      <c r="D7" s="551">
        <v>1</v>
      </c>
      <c r="E7" s="581">
        <f>IFERROR(VLOOKUP(D7,[1]BVAP!A$4:B$33,2,FALSE),0)</f>
        <v>3996.29</v>
      </c>
      <c r="G7" s="581">
        <f>IFERROR(VLOOKUP(D7,[1]BVAP!A$4:C$26,3,FALSE),0)</f>
        <v>2300.34</v>
      </c>
      <c r="I7" s="581">
        <f>IFERROR(VLOOKUP(D7,[1]BVAP!A$4:D$33,4,FALSE),0)</f>
        <v>2300.34</v>
      </c>
      <c r="K7" s="581">
        <f>IFERROR(VLOOKUP(D7,[1]BVAP!A$4:F$33,5,FALSE),0)</f>
        <v>2300.34</v>
      </c>
      <c r="M7" s="581">
        <f>E7+G7+I7+K7</f>
        <v>10897.310000000001</v>
      </c>
      <c r="N7" s="582">
        <f>M7/C7</f>
        <v>1.1844902173913046</v>
      </c>
      <c r="O7" s="583">
        <f>C7-M7</f>
        <v>-1697.3100000000013</v>
      </c>
      <c r="P7" s="584">
        <v>9360</v>
      </c>
    </row>
    <row r="8" spans="1:16" ht="12" x14ac:dyDescent="0.3">
      <c r="A8" s="585" t="s">
        <v>415</v>
      </c>
      <c r="B8" s="579" t="s">
        <v>66</v>
      </c>
      <c r="C8" s="580">
        <f>[1]Budget!C8</f>
        <v>30</v>
      </c>
      <c r="D8" s="551">
        <v>2</v>
      </c>
      <c r="E8" s="581">
        <f>IFERROR(VLOOKUP(D8,[1]BVAP!A$4:B$33,2,FALSE),0)</f>
        <v>58.42</v>
      </c>
      <c r="G8" s="581">
        <f>IFERROR(VLOOKUP(D8,[1]BVAP!A$5:C$26,3,FALSE),0)</f>
        <v>5.16</v>
      </c>
      <c r="I8" s="581">
        <f>IFERROR(VLOOKUP(D8,[1]BVAP!A$4:D$33,4,FALSE),0)</f>
        <v>5.16</v>
      </c>
      <c r="K8" s="581">
        <f>IFERROR(VLOOKUP(D8,[1]BVAP!A$4:F$33,5,FALSE),0)</f>
        <v>5.16</v>
      </c>
      <c r="M8" s="581">
        <f t="shared" ref="M8:M70" si="0">E8+G8+I8+K8</f>
        <v>73.899999999999991</v>
      </c>
      <c r="N8" s="582">
        <f t="shared" ref="N8:N64" si="1">M8/C8</f>
        <v>2.4633333333333329</v>
      </c>
      <c r="O8" s="583">
        <f t="shared" ref="O8:O70" si="2">C8-M8</f>
        <v>-43.899999999999991</v>
      </c>
      <c r="P8" s="584">
        <v>80</v>
      </c>
    </row>
    <row r="9" spans="1:16" ht="12" x14ac:dyDescent="0.3">
      <c r="A9" s="585" t="s">
        <v>416</v>
      </c>
      <c r="B9" s="579" t="s">
        <v>417</v>
      </c>
      <c r="C9" s="586">
        <v>0</v>
      </c>
      <c r="D9" s="551">
        <v>3</v>
      </c>
      <c r="E9" s="581">
        <f>IFERROR(VLOOKUP(D9,[1]BVAP!A$4:B$33,2,FALSE),0)</f>
        <v>0</v>
      </c>
      <c r="G9" s="581">
        <f>IFERROR(VLOOKUP(D9,[1]BVAP!A$5:C$26,3,FALSE),0)</f>
        <v>0</v>
      </c>
      <c r="I9" s="581">
        <f>IFERROR(VLOOKUP(D9,[1]BVAP!A$4:D$33,4,FALSE),0)</f>
        <v>0</v>
      </c>
      <c r="K9" s="581">
        <f>IFERROR(VLOOKUP(D9,[1]BVAP!A$4:F$33,5,FALSE),0)</f>
        <v>0</v>
      </c>
      <c r="M9" s="581">
        <f t="shared" si="0"/>
        <v>0</v>
      </c>
      <c r="N9" s="582"/>
      <c r="O9" s="583">
        <f t="shared" si="2"/>
        <v>0</v>
      </c>
      <c r="P9" s="584">
        <v>0</v>
      </c>
    </row>
    <row r="10" spans="1:16" x14ac:dyDescent="0.25">
      <c r="A10" s="587" t="s">
        <v>418</v>
      </c>
      <c r="B10" s="587"/>
      <c r="C10" s="588">
        <f>SUM(C7:C9)</f>
        <v>9230</v>
      </c>
      <c r="E10" s="588">
        <f>SUM(E7:E9)</f>
        <v>4054.71</v>
      </c>
      <c r="F10" s="560"/>
      <c r="G10" s="588">
        <f>SUM(G7:G9)</f>
        <v>2305.5</v>
      </c>
      <c r="H10" s="560"/>
      <c r="I10" s="588">
        <f>SUM(I7:I9)</f>
        <v>2305.5</v>
      </c>
      <c r="J10" s="560"/>
      <c r="K10" s="588">
        <f>SUM(K7:K9)</f>
        <v>2305.5</v>
      </c>
      <c r="M10" s="589">
        <f t="shared" si="0"/>
        <v>10971.21</v>
      </c>
      <c r="N10" s="590">
        <f t="shared" si="1"/>
        <v>1.1886468039003248</v>
      </c>
      <c r="O10" s="591">
        <f t="shared" si="2"/>
        <v>-1741.2099999999991</v>
      </c>
      <c r="P10" s="584"/>
    </row>
    <row r="11" spans="1:16" x14ac:dyDescent="0.25">
      <c r="A11" s="592" t="s">
        <v>29</v>
      </c>
      <c r="B11" s="593"/>
      <c r="C11" s="594"/>
      <c r="E11" s="581"/>
      <c r="G11" s="581"/>
      <c r="I11" s="581"/>
      <c r="K11" s="581"/>
      <c r="M11" s="581">
        <f t="shared" si="0"/>
        <v>0</v>
      </c>
      <c r="N11" s="582"/>
      <c r="O11" s="583">
        <f t="shared" si="2"/>
        <v>0</v>
      </c>
      <c r="P11" s="584"/>
    </row>
    <row r="12" spans="1:16" ht="12" customHeight="1" x14ac:dyDescent="0.3">
      <c r="A12" s="578" t="s">
        <v>419</v>
      </c>
      <c r="B12" s="595" t="s">
        <v>52</v>
      </c>
      <c r="C12" s="596">
        <f>[1]Budget!C14</f>
        <v>72</v>
      </c>
      <c r="D12" s="551">
        <v>6</v>
      </c>
      <c r="E12" s="581">
        <f>IFERROR(VLOOKUP(D12,[1]BVAP!A$4:B$33,2,FALSE),0)</f>
        <v>25</v>
      </c>
      <c r="G12" s="581">
        <f>IFERROR(VLOOKUP(D12,[1]BVAP!A$5:C$26,3,FALSE),0)</f>
        <v>15</v>
      </c>
      <c r="I12" s="581">
        <f>IFERROR(VLOOKUP(D12,[1]BVAP!A$4:D$33,4,FALSE),0)</f>
        <v>15</v>
      </c>
      <c r="K12" s="581">
        <f>IFERROR(VLOOKUP(D12,[1]BVAP!A$4:F$33,5,FALSE),0)</f>
        <v>15.25</v>
      </c>
      <c r="M12" s="581">
        <f t="shared" si="0"/>
        <v>70.25</v>
      </c>
      <c r="N12" s="582">
        <f t="shared" si="1"/>
        <v>0.97569444444444442</v>
      </c>
      <c r="O12" s="583">
        <f t="shared" si="2"/>
        <v>1.75</v>
      </c>
      <c r="P12" s="584">
        <v>72</v>
      </c>
    </row>
    <row r="13" spans="1:16" ht="12" x14ac:dyDescent="0.3">
      <c r="A13" s="585" t="s">
        <v>420</v>
      </c>
      <c r="B13" s="595" t="s">
        <v>56</v>
      </c>
      <c r="C13" s="596">
        <f>[1]Budget!C15</f>
        <v>40</v>
      </c>
      <c r="D13" s="551">
        <v>7</v>
      </c>
      <c r="E13" s="581">
        <f>IFERROR(VLOOKUP(D13,[1]BVAP!A$4:B$33,2,FALSE),0)</f>
        <v>14.11</v>
      </c>
      <c r="G13" s="581">
        <f>IFERROR(VLOOKUP(D13,[1]BVAP!A$5:C$26,3,FALSE),0)</f>
        <v>0</v>
      </c>
      <c r="I13" s="581">
        <f>IFERROR(VLOOKUP(D13,[1]BVAP!A$4:D$33,4,FALSE),0)</f>
        <v>18.43</v>
      </c>
      <c r="K13" s="581">
        <f>IFERROR(VLOOKUP(D13,[1]BVAP!A$4:F$33,5,FALSE),0)</f>
        <v>9.49</v>
      </c>
      <c r="M13" s="581">
        <f t="shared" si="0"/>
        <v>42.03</v>
      </c>
      <c r="N13" s="582">
        <f t="shared" si="1"/>
        <v>1.0507500000000001</v>
      </c>
      <c r="O13" s="583">
        <f t="shared" si="2"/>
        <v>-2.0300000000000011</v>
      </c>
      <c r="P13" s="584">
        <v>40</v>
      </c>
    </row>
    <row r="14" spans="1:16" ht="12" x14ac:dyDescent="0.3">
      <c r="A14" s="585" t="s">
        <v>421</v>
      </c>
      <c r="B14" s="595" t="s">
        <v>58</v>
      </c>
      <c r="C14" s="596">
        <f>[1]Budget!C16</f>
        <v>45</v>
      </c>
      <c r="D14" s="551">
        <v>8</v>
      </c>
      <c r="E14" s="581">
        <f>IFERROR(VLOOKUP(D14,[1]BVAP!A$4:B$33,2,FALSE),0)</f>
        <v>31.689999999999998</v>
      </c>
      <c r="G14" s="581">
        <f>IFERROR(VLOOKUP(D14,[1]BVAP!A$5:C$26,3,FALSE),0)</f>
        <v>15.84</v>
      </c>
      <c r="I14" s="581">
        <f>IFERROR(VLOOKUP(D14,[1]BVAP!A$4:D$33,4,FALSE),0)</f>
        <v>13.16</v>
      </c>
      <c r="K14" s="581">
        <f>IFERROR(VLOOKUP(D14,[1]BVAP!A$4:F$33,5,FALSE),0)</f>
        <v>7.92</v>
      </c>
      <c r="M14" s="581">
        <f t="shared" si="0"/>
        <v>68.61</v>
      </c>
      <c r="N14" s="582">
        <f t="shared" si="1"/>
        <v>1.5246666666666666</v>
      </c>
      <c r="O14" s="583">
        <f t="shared" si="2"/>
        <v>-23.61</v>
      </c>
      <c r="P14" s="584">
        <v>60</v>
      </c>
    </row>
    <row r="15" spans="1:16" ht="12" x14ac:dyDescent="0.3">
      <c r="A15" s="585" t="s">
        <v>422</v>
      </c>
      <c r="B15" s="595" t="s">
        <v>50</v>
      </c>
      <c r="C15" s="596">
        <f>[1]Budget!C17</f>
        <v>300</v>
      </c>
      <c r="D15" s="551">
        <v>9</v>
      </c>
      <c r="E15" s="581">
        <f>IFERROR(VLOOKUP(D15,[1]BVAP!A$4:B$33,2,FALSE),0)</f>
        <v>167.86</v>
      </c>
      <c r="G15" s="581">
        <f>IFERROR(VLOOKUP(D15,[1]BVAP!A$5:C$26,3,FALSE),0)</f>
        <v>0</v>
      </c>
      <c r="I15" s="581">
        <f>IFERROR(VLOOKUP(D15,[1]BVAP!A$4:D$33,4,FALSE),0)</f>
        <v>0</v>
      </c>
      <c r="K15" s="581">
        <f>IFERROR(VLOOKUP(D15,[1]BVAP!A$4:F$33,5,FALSE),0)</f>
        <v>192</v>
      </c>
      <c r="M15" s="581">
        <f t="shared" si="0"/>
        <v>359.86</v>
      </c>
      <c r="N15" s="582">
        <f t="shared" si="1"/>
        <v>1.1995333333333333</v>
      </c>
      <c r="O15" s="583">
        <f t="shared" si="2"/>
        <v>-59.860000000000014</v>
      </c>
      <c r="P15" s="584">
        <v>300</v>
      </c>
    </row>
    <row r="16" spans="1:16" ht="12" x14ac:dyDescent="0.3">
      <c r="A16" s="585" t="s">
        <v>423</v>
      </c>
      <c r="B16" s="595" t="s">
        <v>239</v>
      </c>
      <c r="C16" s="596">
        <f>[1]Budget!C18</f>
        <v>300</v>
      </c>
      <c r="D16" s="551">
        <v>10</v>
      </c>
      <c r="E16" s="581">
        <f>IFERROR(VLOOKUP(D16,[1]BVAP!A$4:B$33,2,FALSE),0)</f>
        <v>0</v>
      </c>
      <c r="G16" s="581">
        <f>IFERROR(VLOOKUP(D16,[1]BVAP!A$5:C$26,3,FALSE),0)</f>
        <v>0</v>
      </c>
      <c r="I16" s="581">
        <f>IFERROR(VLOOKUP(D16,[1]BVAP!A$4:D$33,4,FALSE),0)</f>
        <v>0</v>
      </c>
      <c r="K16" s="581">
        <v>300</v>
      </c>
      <c r="M16" s="581">
        <f t="shared" si="0"/>
        <v>300</v>
      </c>
      <c r="N16" s="582">
        <f t="shared" si="1"/>
        <v>1</v>
      </c>
      <c r="O16" s="583">
        <f t="shared" si="2"/>
        <v>0</v>
      </c>
      <c r="P16" s="584">
        <v>300</v>
      </c>
    </row>
    <row r="17" spans="1:16" ht="12" x14ac:dyDescent="0.3">
      <c r="A17" s="585" t="s">
        <v>424</v>
      </c>
      <c r="B17" s="595" t="s">
        <v>201</v>
      </c>
      <c r="C17" s="596">
        <f>[1]Budget!C19</f>
        <v>160</v>
      </c>
      <c r="D17" s="551">
        <v>11</v>
      </c>
      <c r="E17" s="581">
        <f>IFERROR(VLOOKUP(D17,[1]BVAP!A$4:B$33,2,FALSE),0)</f>
        <v>0</v>
      </c>
      <c r="G17" s="581">
        <f>IFERROR(VLOOKUP(D17,[1]BVAP!A$5:C$26,3,FALSE),0)</f>
        <v>0</v>
      </c>
      <c r="I17" s="581">
        <v>124</v>
      </c>
      <c r="K17" s="581">
        <f>IFERROR(VLOOKUP(D17,[1]BVAP!A$4:F$33,5,FALSE),0)</f>
        <v>0</v>
      </c>
      <c r="M17" s="581">
        <f t="shared" si="0"/>
        <v>124</v>
      </c>
      <c r="N17" s="582">
        <f t="shared" si="1"/>
        <v>0.77500000000000002</v>
      </c>
      <c r="O17" s="583">
        <f t="shared" si="2"/>
        <v>36</v>
      </c>
      <c r="P17" s="584">
        <v>0</v>
      </c>
    </row>
    <row r="18" spans="1:16" ht="12" x14ac:dyDescent="0.3">
      <c r="A18" s="585" t="s">
        <v>425</v>
      </c>
      <c r="B18" s="595" t="s">
        <v>76</v>
      </c>
      <c r="C18" s="596">
        <f>[1]Budget!C22</f>
        <v>80</v>
      </c>
      <c r="D18" s="551">
        <v>14</v>
      </c>
      <c r="E18" s="581">
        <f>IFERROR(VLOOKUP(D18,[1]BVAP!A$4:B$33,2,FALSE),0)</f>
        <v>10.47</v>
      </c>
      <c r="G18" s="581">
        <f>IFERROR(VLOOKUP(D18,[1]BVAP!A$5:C$26,3,FALSE),0)</f>
        <v>17.670000000000002</v>
      </c>
      <c r="I18" s="581">
        <f>IFERROR(VLOOKUP(D18,[1]BVAP!A$4:D$33,4,FALSE),0)</f>
        <v>16.47</v>
      </c>
      <c r="K18" s="581">
        <f>IFERROR(VLOOKUP(D18,[1]BVAP!A$4:F$33,5,FALSE),0)</f>
        <v>56.46</v>
      </c>
      <c r="M18" s="581">
        <f t="shared" si="0"/>
        <v>101.07</v>
      </c>
      <c r="N18" s="582">
        <f t="shared" si="1"/>
        <v>1.2633749999999999</v>
      </c>
      <c r="O18" s="583">
        <f t="shared" si="2"/>
        <v>-21.069999999999993</v>
      </c>
      <c r="P18" s="584">
        <v>350</v>
      </c>
    </row>
    <row r="19" spans="1:16" ht="12" x14ac:dyDescent="0.3">
      <c r="A19" s="585" t="s">
        <v>426</v>
      </c>
      <c r="B19" s="595" t="s">
        <v>54</v>
      </c>
      <c r="C19" s="596">
        <f>[1]Budget!C23</f>
        <v>200</v>
      </c>
      <c r="D19" s="551">
        <v>15</v>
      </c>
      <c r="E19" s="581">
        <f>IFERROR(VLOOKUP(D19,[1]BVAP!A$4:B$33,2,FALSE),0)</f>
        <v>80</v>
      </c>
      <c r="G19" s="581">
        <f>IFERROR(VLOOKUP(D19,[1]BVAP!A$5:C$26,3,FALSE),0)</f>
        <v>48</v>
      </c>
      <c r="I19" s="581">
        <f>IFERROR(VLOOKUP(D19,[1]BVAP!A$4:D$33,4,FALSE),0)</f>
        <v>80.800000000000011</v>
      </c>
      <c r="K19" s="581">
        <f>IFERROR(VLOOKUP(D19,[1]BVAP!A$4:F$33,5,FALSE),0)</f>
        <v>40.480000000000004</v>
      </c>
      <c r="M19" s="581">
        <f t="shared" si="0"/>
        <v>249.28000000000003</v>
      </c>
      <c r="N19" s="582">
        <f t="shared" si="1"/>
        <v>1.2464000000000002</v>
      </c>
      <c r="O19" s="583">
        <f t="shared" si="2"/>
        <v>-49.28000000000003</v>
      </c>
      <c r="P19" s="584">
        <v>200</v>
      </c>
    </row>
    <row r="20" spans="1:16" ht="12" x14ac:dyDescent="0.3">
      <c r="A20" s="585" t="s">
        <v>427</v>
      </c>
      <c r="B20" s="595" t="s">
        <v>189</v>
      </c>
      <c r="C20" s="596">
        <f>[1]Budget!C24</f>
        <v>100</v>
      </c>
      <c r="D20" s="551">
        <v>16</v>
      </c>
      <c r="E20" s="581">
        <f>IFERROR(VLOOKUP(D20,[1]BVAP!A$4:B$33,2,FALSE),0)</f>
        <v>0</v>
      </c>
      <c r="G20" s="581">
        <f>IFERROR(VLOOKUP(D20,[1]BVAP!A$5:C$26,3,FALSE),0)</f>
        <v>0</v>
      </c>
      <c r="I20" s="581">
        <f>IFERROR(VLOOKUP(D20,[1]BVAP!A$4:D$33,4,FALSE),0)</f>
        <v>100</v>
      </c>
      <c r="K20" s="581">
        <f>IFERROR(VLOOKUP(D20,[1]BVAP!A$4:F$33,5,FALSE),0)</f>
        <v>0</v>
      </c>
      <c r="M20" s="581">
        <f t="shared" si="0"/>
        <v>100</v>
      </c>
      <c r="N20" s="582">
        <f t="shared" si="1"/>
        <v>1</v>
      </c>
      <c r="O20" s="583">
        <f t="shared" si="2"/>
        <v>0</v>
      </c>
      <c r="P20" s="584">
        <v>100</v>
      </c>
    </row>
    <row r="21" spans="1:16" ht="12" x14ac:dyDescent="0.3">
      <c r="A21" s="585" t="s">
        <v>428</v>
      </c>
      <c r="B21" s="595" t="s">
        <v>114</v>
      </c>
      <c r="C21" s="596">
        <f>[1]Budget!C25</f>
        <v>100</v>
      </c>
      <c r="D21" s="551">
        <v>17</v>
      </c>
      <c r="E21" s="581">
        <f>IFERROR(VLOOKUP(D21,[1]BVAP!A$4:B$33,2,FALSE),0)</f>
        <v>25</v>
      </c>
      <c r="G21" s="581">
        <v>25</v>
      </c>
      <c r="I21" s="581">
        <f>IFERROR(VLOOKUP(D21,[1]BVAP!A$4:D$33,4,FALSE),0)</f>
        <v>30</v>
      </c>
      <c r="K21" s="581">
        <f>IFERROR(VLOOKUP(D21,[1]BVAP!A$4:F$33,5,FALSE),0)</f>
        <v>0</v>
      </c>
      <c r="M21" s="581">
        <f t="shared" si="0"/>
        <v>80</v>
      </c>
      <c r="N21" s="582">
        <f t="shared" si="1"/>
        <v>0.8</v>
      </c>
      <c r="O21" s="583">
        <f t="shared" si="2"/>
        <v>20</v>
      </c>
      <c r="P21" s="584">
        <v>100</v>
      </c>
    </row>
    <row r="22" spans="1:16" ht="12" x14ac:dyDescent="0.3">
      <c r="A22" s="585" t="s">
        <v>429</v>
      </c>
      <c r="B22" s="595" t="s">
        <v>430</v>
      </c>
      <c r="C22" s="597">
        <f>[1]Budget!C26</f>
        <v>1000</v>
      </c>
      <c r="D22" s="551">
        <v>18</v>
      </c>
      <c r="E22" s="581">
        <f>IFERROR(VLOOKUP(D22,[1]BVAP!A$4:B$33,2,FALSE),0)</f>
        <v>0</v>
      </c>
      <c r="G22" s="581">
        <f>IFERROR(VLOOKUP(D22,[1]BVAP!A$5:C$29,3,FALSE),0)</f>
        <v>0</v>
      </c>
      <c r="I22" s="581">
        <f>IFERROR(VLOOKUP(D22,[1]BVAP!A$4:D$33,4,FALSE),0)</f>
        <v>0</v>
      </c>
      <c r="K22" s="581">
        <f>IFERROR(VLOOKUP(D22,[1]BVAP!A$4:F$33,5,FALSE),0)</f>
        <v>0</v>
      </c>
      <c r="M22" s="581">
        <f t="shared" si="0"/>
        <v>0</v>
      </c>
      <c r="N22" s="582">
        <f t="shared" si="1"/>
        <v>0</v>
      </c>
      <c r="O22" s="583">
        <f t="shared" si="2"/>
        <v>1000</v>
      </c>
      <c r="P22" s="584">
        <v>0</v>
      </c>
    </row>
    <row r="23" spans="1:16" ht="12" x14ac:dyDescent="0.3">
      <c r="A23" s="585" t="s">
        <v>431</v>
      </c>
      <c r="B23" s="595" t="s">
        <v>85</v>
      </c>
      <c r="C23" s="597">
        <f>[1]Budget!C27</f>
        <v>400</v>
      </c>
      <c r="D23" s="551">
        <v>19</v>
      </c>
      <c r="E23" s="581">
        <f>IFERROR(VLOOKUP(D23,[1]BVAP!A$4:B$33,2,FALSE),0)</f>
        <v>211.5</v>
      </c>
      <c r="G23" s="581">
        <f>IFERROR(VLOOKUP(D23,[1]BVAP!A$5:C$26,3,FALSE),0)</f>
        <v>300</v>
      </c>
      <c r="I23" s="581">
        <f>IFERROR(VLOOKUP(D23,[1]BVAP!A$4:D$33,4,FALSE),0)</f>
        <v>0</v>
      </c>
      <c r="K23" s="581">
        <f>IFERROR(VLOOKUP(D23,[1]BVAP!A$4:F$33,5,FALSE),0)</f>
        <v>0</v>
      </c>
      <c r="M23" s="581">
        <f t="shared" si="0"/>
        <v>511.5</v>
      </c>
      <c r="N23" s="582">
        <f t="shared" si="1"/>
        <v>1.2787500000000001</v>
      </c>
      <c r="O23" s="583">
        <f t="shared" si="2"/>
        <v>-111.5</v>
      </c>
      <c r="P23" s="584">
        <v>525</v>
      </c>
    </row>
    <row r="24" spans="1:16" ht="12" x14ac:dyDescent="0.3">
      <c r="A24" s="585" t="s">
        <v>432</v>
      </c>
      <c r="B24" s="595" t="s">
        <v>135</v>
      </c>
      <c r="C24" s="597">
        <f>[1]Budget!C28</f>
        <v>950</v>
      </c>
      <c r="D24" s="551">
        <v>20</v>
      </c>
      <c r="E24" s="581">
        <f>IFERROR(VLOOKUP(D24,[1]BVAP!A$4:B$33,2,FALSE),0)</f>
        <v>0</v>
      </c>
      <c r="G24" s="581">
        <f>IFERROR(VLOOKUP(D24,[1]BVAP!A$5:C$26,3,FALSE),0)</f>
        <v>1090.54</v>
      </c>
      <c r="I24" s="581">
        <f>IFERROR(VLOOKUP(D24,[1]BVAP!A$4:D$33,4,FALSE),0)</f>
        <v>189.58</v>
      </c>
      <c r="K24" s="581">
        <f>IFERROR(VLOOKUP(D24,[1]BVAP!A$4:F$33,5,FALSE),0)</f>
        <v>0</v>
      </c>
      <c r="M24" s="581">
        <f t="shared" si="0"/>
        <v>1280.1199999999999</v>
      </c>
      <c r="N24" s="582">
        <f t="shared" si="1"/>
        <v>1.3474947368421051</v>
      </c>
      <c r="O24" s="583">
        <f t="shared" si="2"/>
        <v>-330.11999999999989</v>
      </c>
      <c r="P24" s="584">
        <v>1280</v>
      </c>
    </row>
    <row r="25" spans="1:16" ht="12" x14ac:dyDescent="0.3">
      <c r="A25" s="585" t="s">
        <v>433</v>
      </c>
      <c r="B25" s="595" t="s">
        <v>108</v>
      </c>
      <c r="C25" s="596">
        <f>[1]Budget!C31</f>
        <v>222</v>
      </c>
      <c r="D25" s="551">
        <v>23</v>
      </c>
      <c r="E25" s="581">
        <f>IFERROR(VLOOKUP(D25,[1]BVAP!A$4:B$33,2,FALSE),0)</f>
        <v>60</v>
      </c>
      <c r="G25" s="581">
        <f>IFERROR(VLOOKUP(D25,[1]BVAP!A$5:C$26,3,FALSE),0)</f>
        <v>60</v>
      </c>
      <c r="I25" s="581">
        <f>IFERROR(VLOOKUP(D25,[1]BVAP!A$4:D$33,4,FALSE),0)</f>
        <v>60</v>
      </c>
      <c r="K25" s="581">
        <f>IFERROR(VLOOKUP(D25,[1]BVAP!A$4:F$33,5,FALSE),0)</f>
        <v>0</v>
      </c>
      <c r="M25" s="581">
        <f t="shared" si="0"/>
        <v>180</v>
      </c>
      <c r="N25" s="582">
        <f t="shared" si="1"/>
        <v>0.81081081081081086</v>
      </c>
      <c r="O25" s="583">
        <f t="shared" si="2"/>
        <v>42</v>
      </c>
      <c r="P25" s="584">
        <v>120</v>
      </c>
    </row>
    <row r="26" spans="1:16" ht="12" x14ac:dyDescent="0.3">
      <c r="A26" s="598" t="s">
        <v>434</v>
      </c>
      <c r="B26" s="595" t="s">
        <v>435</v>
      </c>
      <c r="C26" s="596"/>
      <c r="D26" s="551">
        <v>24</v>
      </c>
      <c r="E26" s="581">
        <f>IFERROR(VLOOKUP(D26,[1]BVAP!A$4:B$33,2,FALSE),0)</f>
        <v>0</v>
      </c>
      <c r="G26" s="581">
        <f>IFERROR(VLOOKUP(D26,[1]BVAP!A$5:C$26,3,FALSE),0)</f>
        <v>0</v>
      </c>
      <c r="I26" s="581">
        <f>IFERROR(VLOOKUP(D26,[1]BVAP!A$4:D$33,4,FALSE),0)</f>
        <v>0</v>
      </c>
      <c r="K26" s="581">
        <f>IFERROR(VLOOKUP(D26,[1]BVAP!A$4:F$33,5,FALSE),0)</f>
        <v>0</v>
      </c>
      <c r="M26" s="581">
        <f t="shared" si="0"/>
        <v>0</v>
      </c>
      <c r="N26" s="582"/>
      <c r="O26" s="583">
        <f t="shared" si="2"/>
        <v>0</v>
      </c>
      <c r="P26" s="584">
        <v>0</v>
      </c>
    </row>
    <row r="27" spans="1:16" ht="12" x14ac:dyDescent="0.3">
      <c r="A27" s="598" t="s">
        <v>436</v>
      </c>
      <c r="B27" s="595" t="s">
        <v>100</v>
      </c>
      <c r="C27" s="599">
        <f>[1]Budget!C33</f>
        <v>35</v>
      </c>
      <c r="D27" s="551">
        <v>25</v>
      </c>
      <c r="E27" s="581">
        <f>IFERROR(VLOOKUP(D27,[1]BVAP!A$4:B$33,2,FALSE),0)</f>
        <v>35</v>
      </c>
      <c r="G27" s="581">
        <f>IFERROR(VLOOKUP(D27,[1]BVAP!A$5:C$26,3,FALSE),0)</f>
        <v>0</v>
      </c>
      <c r="I27" s="581">
        <f>IFERROR(VLOOKUP(D27,[1]BVAP!A$4:D$33,4,FALSE),0)</f>
        <v>0</v>
      </c>
      <c r="K27" s="581">
        <f>IFERROR(VLOOKUP(D27,[1]BVAP!A$4:F$33,5,FALSE),0)</f>
        <v>0</v>
      </c>
      <c r="M27" s="581">
        <f t="shared" si="0"/>
        <v>35</v>
      </c>
      <c r="N27" s="582">
        <f t="shared" si="1"/>
        <v>1</v>
      </c>
      <c r="O27" s="583">
        <f t="shared" si="2"/>
        <v>0</v>
      </c>
      <c r="P27" s="584">
        <v>35</v>
      </c>
    </row>
    <row r="28" spans="1:16" ht="12" x14ac:dyDescent="0.3">
      <c r="A28" s="585" t="s">
        <v>437</v>
      </c>
      <c r="B28" s="600" t="s">
        <v>157</v>
      </c>
      <c r="C28" s="601">
        <v>0</v>
      </c>
      <c r="E28" s="581">
        <f>IFERROR(VLOOKUP(D28,[1]BVAP!A$4:B$33,2,FALSE),0)</f>
        <v>0</v>
      </c>
      <c r="G28" s="581">
        <v>150</v>
      </c>
      <c r="I28" s="581">
        <f>IFERROR(VLOOKUP(D28,[1]BVAP!A$4:D$33,4,FALSE),0)</f>
        <v>0</v>
      </c>
      <c r="K28" s="581">
        <f>IFERROR(VLOOKUP(D28,[1]BVAP!A$4:F$33,5,FALSE),0)</f>
        <v>0</v>
      </c>
      <c r="M28" s="581">
        <f t="shared" si="0"/>
        <v>150</v>
      </c>
      <c r="N28" s="582"/>
      <c r="O28" s="583">
        <f t="shared" si="2"/>
        <v>-150</v>
      </c>
      <c r="P28" s="584"/>
    </row>
    <row r="29" spans="1:16" ht="12" thickBot="1" x14ac:dyDescent="0.3">
      <c r="A29" s="602" t="s">
        <v>438</v>
      </c>
      <c r="B29" s="602"/>
      <c r="C29" s="588">
        <f>SUM(C11:C27)</f>
        <v>4004</v>
      </c>
      <c r="E29" s="588">
        <f>SUM(E11:E27)</f>
        <v>660.63</v>
      </c>
      <c r="F29" s="560"/>
      <c r="G29" s="588">
        <f>SUM(G11:G28)</f>
        <v>1722.05</v>
      </c>
      <c r="H29" s="560"/>
      <c r="I29" s="588">
        <f>SUM(I11:I27)</f>
        <v>647.44000000000005</v>
      </c>
      <c r="J29" s="560"/>
      <c r="K29" s="588">
        <f>SUM(K11:K27)</f>
        <v>621.6</v>
      </c>
      <c r="M29" s="589">
        <f>E29+G29+I29+K29</f>
        <v>3651.72</v>
      </c>
      <c r="N29" s="590">
        <f t="shared" si="1"/>
        <v>0.91201798201798201</v>
      </c>
      <c r="O29" s="591">
        <f t="shared" si="2"/>
        <v>352.2800000000002</v>
      </c>
      <c r="P29" s="584"/>
    </row>
    <row r="30" spans="1:16" ht="12" thickTop="1" x14ac:dyDescent="0.25">
      <c r="A30" s="603" t="s">
        <v>384</v>
      </c>
      <c r="B30" s="604"/>
      <c r="C30" s="594"/>
      <c r="E30" s="581"/>
      <c r="G30" s="581"/>
      <c r="I30" s="581"/>
      <c r="K30" s="581"/>
      <c r="M30" s="581">
        <f t="shared" si="0"/>
        <v>0</v>
      </c>
      <c r="N30" s="582"/>
      <c r="O30" s="583">
        <f t="shared" si="2"/>
        <v>0</v>
      </c>
      <c r="P30" s="584"/>
    </row>
    <row r="31" spans="1:16" ht="12" x14ac:dyDescent="0.3">
      <c r="A31" s="605" t="s">
        <v>439</v>
      </c>
      <c r="B31" s="604" t="s">
        <v>175</v>
      </c>
      <c r="C31" s="596">
        <f>[1]Budget!C36</f>
        <v>240</v>
      </c>
      <c r="D31" s="551">
        <v>26</v>
      </c>
      <c r="E31" s="581">
        <f>IFERROR(VLOOKUP(D31,[1]BVAP!A$4:B$33,2,FALSE),0)</f>
        <v>0</v>
      </c>
      <c r="G31" s="581">
        <f>IFERROR(VLOOKUP(D31,[1]BVAP!A$5:C$29,3,FALSE),0)</f>
        <v>0</v>
      </c>
      <c r="I31" s="581">
        <f>IFERROR(VLOOKUP(D31,[1]BVAP!A$4:D$33,4,FALSE),0)</f>
        <v>264</v>
      </c>
      <c r="K31" s="581">
        <f>IFERROR(VLOOKUP(D31,[1]BVAP!A$4:F$33,5,FALSE),0)</f>
        <v>0</v>
      </c>
      <c r="M31" s="581">
        <f t="shared" si="0"/>
        <v>264</v>
      </c>
      <c r="N31" s="582">
        <f t="shared" si="1"/>
        <v>1.1000000000000001</v>
      </c>
      <c r="O31" s="583">
        <f t="shared" si="2"/>
        <v>-24</v>
      </c>
      <c r="P31" s="584">
        <v>300</v>
      </c>
    </row>
    <row r="32" spans="1:16" ht="12" x14ac:dyDescent="0.3">
      <c r="A32" s="605" t="s">
        <v>440</v>
      </c>
      <c r="B32" s="604" t="s">
        <v>95</v>
      </c>
      <c r="C32" s="596">
        <f>[1]Budget!C37</f>
        <v>2400</v>
      </c>
      <c r="D32" s="551">
        <v>27</v>
      </c>
      <c r="E32" s="581">
        <f>IFERROR(VLOOKUP(D32,[1]BVAP!A$4:B$33,2,FALSE),0)</f>
        <v>353.34</v>
      </c>
      <c r="G32" s="581">
        <f>IFERROR(VLOOKUP(D32,[1]BVAP!A$5:C$26,3,FALSE),0)</f>
        <v>956.67999999999984</v>
      </c>
      <c r="I32" s="581">
        <f>IFERROR(VLOOKUP(D32,[1]BVAP!A$4:D$33,4,FALSE),0)</f>
        <v>550.01</v>
      </c>
      <c r="K32" s="581">
        <f>IFERROR(VLOOKUP(D32,[1]BVAP!A$4:F$33,5,FALSE),0)</f>
        <v>530.01</v>
      </c>
      <c r="M32" s="581">
        <f t="shared" si="0"/>
        <v>2390.04</v>
      </c>
      <c r="N32" s="582">
        <f t="shared" si="1"/>
        <v>0.99585000000000001</v>
      </c>
      <c r="O32" s="583">
        <f t="shared" si="2"/>
        <v>9.9600000000000364</v>
      </c>
      <c r="P32" s="584">
        <v>2400</v>
      </c>
    </row>
    <row r="33" spans="1:16" ht="12" x14ac:dyDescent="0.3">
      <c r="A33" s="605" t="s">
        <v>441</v>
      </c>
      <c r="B33" s="604" t="s">
        <v>198</v>
      </c>
      <c r="C33" s="596">
        <f>[1]Budget!C38</f>
        <v>600</v>
      </c>
      <c r="D33" s="551">
        <v>28</v>
      </c>
      <c r="E33" s="581">
        <f>IFERROR(VLOOKUP(D33,[1]BVAP!A$4:B$33,2,FALSE),0)</f>
        <v>0</v>
      </c>
      <c r="G33" s="581">
        <f>IFERROR(VLOOKUP(D33,[1]BVAP!A$5:C$29,3,FALSE),0)</f>
        <v>0</v>
      </c>
      <c r="I33" s="581">
        <f>IFERROR(VLOOKUP(D33,[1]BVAP!A$4:D$33,4,FALSE),0)</f>
        <v>400</v>
      </c>
      <c r="K33" s="581">
        <f>IFERROR(VLOOKUP(D33,[1]BVAP!A$4:F$33,5,FALSE),0)</f>
        <v>0</v>
      </c>
      <c r="M33" s="581">
        <f t="shared" si="0"/>
        <v>400</v>
      </c>
      <c r="N33" s="582">
        <f t="shared" si="1"/>
        <v>0.66666666666666663</v>
      </c>
      <c r="O33" s="583">
        <f t="shared" si="2"/>
        <v>200</v>
      </c>
      <c r="P33" s="584">
        <v>800</v>
      </c>
    </row>
    <row r="34" spans="1:16" ht="12" x14ac:dyDescent="0.3">
      <c r="A34" s="605" t="s">
        <v>442</v>
      </c>
      <c r="B34" s="604" t="s">
        <v>92</v>
      </c>
      <c r="C34" s="596">
        <f>[1]Budget!C39</f>
        <v>350</v>
      </c>
      <c r="D34" s="551">
        <v>29</v>
      </c>
      <c r="E34" s="581">
        <f>IFERROR(VLOOKUP(D34,[1]BVAP!A$4:B$33,2,FALSE),0)</f>
        <v>89.5</v>
      </c>
      <c r="G34" s="581">
        <f>IFERROR(VLOOKUP(D34,[1]BVAP!A$5:C$26,3,FALSE),0)</f>
        <v>50</v>
      </c>
      <c r="I34" s="581">
        <f>IFERROR(VLOOKUP(D34,[1]BVAP!A$4:D$33,4,FALSE),0)</f>
        <v>0</v>
      </c>
      <c r="K34" s="581">
        <f>IFERROR(VLOOKUP(D34,[1]BVAP!A$4:F$33,5,FALSE),0)</f>
        <v>0</v>
      </c>
      <c r="M34" s="581">
        <f t="shared" si="0"/>
        <v>139.5</v>
      </c>
      <c r="N34" s="582">
        <f t="shared" si="1"/>
        <v>0.39857142857142858</v>
      </c>
      <c r="O34" s="583">
        <f t="shared" si="2"/>
        <v>210.5</v>
      </c>
      <c r="P34" s="584">
        <v>400</v>
      </c>
    </row>
    <row r="35" spans="1:16" ht="12" x14ac:dyDescent="0.3">
      <c r="A35" s="605" t="s">
        <v>443</v>
      </c>
      <c r="B35" s="604" t="s">
        <v>97</v>
      </c>
      <c r="C35" s="596">
        <f>[1]Budget!C40</f>
        <v>1400</v>
      </c>
      <c r="D35" s="551">
        <v>30</v>
      </c>
      <c r="E35" s="581">
        <f>IFERROR(VLOOKUP(D35,[1]BVAP!A$4:B$33,2,FALSE),0)</f>
        <v>555</v>
      </c>
      <c r="G35" s="581">
        <f>IFERROR(VLOOKUP(D35,[1]BVAP!A$5:C$26,3,FALSE),0)</f>
        <v>13.5</v>
      </c>
      <c r="I35" s="581">
        <f>IFERROR(VLOOKUP(D35,[1]BVAP!A$4:D$33,4,FALSE),0)</f>
        <v>12.88</v>
      </c>
      <c r="K35" s="581">
        <f>IFERROR(VLOOKUP(D35,[1]BVAP!A$4:F$33,5,FALSE),0)</f>
        <v>406.62</v>
      </c>
      <c r="M35" s="581">
        <f t="shared" si="0"/>
        <v>988</v>
      </c>
      <c r="N35" s="582">
        <f t="shared" si="1"/>
        <v>0.70571428571428574</v>
      </c>
      <c r="O35" s="583">
        <f t="shared" si="2"/>
        <v>412</v>
      </c>
      <c r="P35" s="584">
        <v>2000</v>
      </c>
    </row>
    <row r="36" spans="1:16" ht="12" thickBot="1" x14ac:dyDescent="0.3">
      <c r="A36" s="602" t="s">
        <v>444</v>
      </c>
      <c r="B36" s="606"/>
      <c r="C36" s="607">
        <f>SUM(C31:C35)</f>
        <v>4990</v>
      </c>
      <c r="E36" s="607">
        <f>SUM(E31:E35)</f>
        <v>997.83999999999992</v>
      </c>
      <c r="F36" s="560"/>
      <c r="G36" s="607">
        <f>SUM(G31:G35)</f>
        <v>1020.1799999999998</v>
      </c>
      <c r="H36" s="560"/>
      <c r="I36" s="607">
        <f>SUM(I31:I35)</f>
        <v>1226.8900000000001</v>
      </c>
      <c r="J36" s="560"/>
      <c r="K36" s="607">
        <f>SUM(K31:K35)</f>
        <v>936.63</v>
      </c>
      <c r="M36" s="589">
        <f t="shared" si="0"/>
        <v>4181.54</v>
      </c>
      <c r="N36" s="590">
        <f t="shared" si="1"/>
        <v>0.83798396793587171</v>
      </c>
      <c r="O36" s="591">
        <f t="shared" si="2"/>
        <v>808.46</v>
      </c>
      <c r="P36" s="584"/>
    </row>
    <row r="37" spans="1:16" ht="12" thickTop="1" x14ac:dyDescent="0.25">
      <c r="A37" s="603" t="s">
        <v>385</v>
      </c>
      <c r="B37" s="604"/>
      <c r="C37" s="580"/>
      <c r="E37" s="581"/>
      <c r="G37" s="581"/>
      <c r="I37" s="581"/>
      <c r="K37" s="581"/>
      <c r="M37" s="581">
        <f t="shared" si="0"/>
        <v>0</v>
      </c>
      <c r="N37" s="582"/>
      <c r="O37" s="583">
        <f t="shared" si="2"/>
        <v>0</v>
      </c>
      <c r="P37" s="584"/>
    </row>
    <row r="38" spans="1:16" ht="12" x14ac:dyDescent="0.3">
      <c r="A38" s="605" t="s">
        <v>445</v>
      </c>
      <c r="B38" s="604" t="s">
        <v>69</v>
      </c>
      <c r="C38" s="596">
        <f>[1]Budget!C43</f>
        <v>1100</v>
      </c>
      <c r="D38" s="551">
        <v>31</v>
      </c>
      <c r="E38" s="581">
        <f>IFERROR(VLOOKUP(D38,[1]BVAP!A$4:B$33,2,FALSE),0)</f>
        <v>312.74</v>
      </c>
      <c r="G38" s="581">
        <f>IFERROR(VLOOKUP(D38,[1]BVAP!A$5:C$26,3,FALSE),0)</f>
        <v>302.81</v>
      </c>
      <c r="I38" s="581">
        <f>IFERROR(VLOOKUP(D38,[1]BVAP!A$4:D$33,4,FALSE),0)</f>
        <v>311.36</v>
      </c>
      <c r="K38" s="581">
        <f>IFERROR(VLOOKUP(D38,[1]BVAP!A$4:F$33,5,FALSE),0)</f>
        <v>290.46000000000004</v>
      </c>
      <c r="M38" s="581">
        <f t="shared" si="0"/>
        <v>1217.3699999999999</v>
      </c>
      <c r="N38" s="582">
        <f t="shared" si="1"/>
        <v>1.1066999999999998</v>
      </c>
      <c r="O38" s="583">
        <f t="shared" si="2"/>
        <v>-117.36999999999989</v>
      </c>
      <c r="P38" s="584">
        <v>1250</v>
      </c>
    </row>
    <row r="39" spans="1:16" ht="12" thickBot="1" x14ac:dyDescent="0.3">
      <c r="A39" s="602" t="s">
        <v>446</v>
      </c>
      <c r="B39" s="608"/>
      <c r="C39" s="607">
        <f>SUM(C38:C38)</f>
        <v>1100</v>
      </c>
      <c r="E39" s="607">
        <f>SUM(E38:E38)</f>
        <v>312.74</v>
      </c>
      <c r="G39" s="607">
        <f>SUM(G38:G38)</f>
        <v>302.81</v>
      </c>
      <c r="I39" s="607">
        <f>SUM(I38:I38)</f>
        <v>311.36</v>
      </c>
      <c r="K39" s="607">
        <f>SUM(K38:K38)</f>
        <v>290.46000000000004</v>
      </c>
      <c r="M39" s="589">
        <f t="shared" si="0"/>
        <v>1217.3699999999999</v>
      </c>
      <c r="N39" s="590">
        <f t="shared" si="1"/>
        <v>1.1066999999999998</v>
      </c>
      <c r="O39" s="591">
        <f t="shared" si="2"/>
        <v>-117.36999999999989</v>
      </c>
      <c r="P39" s="584"/>
    </row>
    <row r="40" spans="1:16" ht="12" thickTop="1" x14ac:dyDescent="0.25">
      <c r="A40" s="603" t="s">
        <v>386</v>
      </c>
      <c r="B40" s="604"/>
      <c r="C40" s="580"/>
      <c r="E40" s="581"/>
      <c r="G40" s="581"/>
      <c r="I40" s="581"/>
      <c r="K40" s="581"/>
      <c r="M40" s="581">
        <f t="shared" si="0"/>
        <v>0</v>
      </c>
      <c r="N40" s="582"/>
      <c r="O40" s="583">
        <f t="shared" si="2"/>
        <v>0</v>
      </c>
      <c r="P40" s="584"/>
    </row>
    <row r="41" spans="1:16" ht="12" x14ac:dyDescent="0.3">
      <c r="A41" s="605" t="s">
        <v>447</v>
      </c>
      <c r="B41" s="604" t="s">
        <v>103</v>
      </c>
      <c r="C41" s="596">
        <f>[1]Budget!C50</f>
        <v>550</v>
      </c>
      <c r="D41" s="551">
        <v>36</v>
      </c>
      <c r="E41" s="581">
        <f>IFERROR(VLOOKUP(D41,[1]BVAP!A$4:B$33,2,FALSE),0)</f>
        <v>543.24</v>
      </c>
      <c r="G41" s="581">
        <f>IFERROR(VLOOKUP(D41,[1]BVAP!A$5:C$26,3,FALSE),0)</f>
        <v>0</v>
      </c>
      <c r="I41" s="581">
        <f>IFERROR(VLOOKUP(D41,[1]BVAP!A$4:D$33,4,FALSE),0)</f>
        <v>0</v>
      </c>
      <c r="K41" s="581">
        <f>IFERROR(VLOOKUP(D41,[1]BVAP!A$4:F$33,5,FALSE),0)</f>
        <v>0</v>
      </c>
      <c r="M41" s="581">
        <f t="shared" si="0"/>
        <v>543.24</v>
      </c>
      <c r="N41" s="582">
        <f t="shared" si="1"/>
        <v>0.98770909090909098</v>
      </c>
      <c r="O41" s="583">
        <f t="shared" si="2"/>
        <v>6.7599999999999909</v>
      </c>
      <c r="P41" s="584">
        <v>550</v>
      </c>
    </row>
    <row r="42" spans="1:16" ht="12" x14ac:dyDescent="0.3">
      <c r="A42" s="605" t="s">
        <v>448</v>
      </c>
      <c r="B42" s="604" t="s">
        <v>449</v>
      </c>
      <c r="C42" s="596">
        <f>[1]Budget!C51</f>
        <v>8</v>
      </c>
      <c r="D42" s="551">
        <v>37</v>
      </c>
      <c r="E42" s="581">
        <f>IFERROR(VLOOKUP(D42,[1]BVAP!A$4:B$33,2,FALSE),0)</f>
        <v>0</v>
      </c>
      <c r="G42" s="581">
        <f>IFERROR(VLOOKUP(D42,[1]BVAP!A$5:C$26,3,FALSE),0)</f>
        <v>0</v>
      </c>
      <c r="I42" s="581">
        <f>IFERROR(VLOOKUP(D42,[1]BVAP!A$4:D$33,4,FALSE),0)</f>
        <v>0</v>
      </c>
      <c r="K42" s="581">
        <f>IFERROR(VLOOKUP(D42,[1]BVAP!A$4:F$33,5,FALSE),0)</f>
        <v>0</v>
      </c>
      <c r="M42" s="581">
        <f t="shared" si="0"/>
        <v>0</v>
      </c>
      <c r="N42" s="582">
        <f t="shared" si="1"/>
        <v>0</v>
      </c>
      <c r="O42" s="583">
        <f t="shared" si="2"/>
        <v>8</v>
      </c>
      <c r="P42" s="584">
        <v>8</v>
      </c>
    </row>
    <row r="43" spans="1:16" ht="12" x14ac:dyDescent="0.3">
      <c r="A43" s="605" t="s">
        <v>450</v>
      </c>
      <c r="B43" s="604" t="s">
        <v>451</v>
      </c>
      <c r="C43" s="596">
        <f>[1]Budget!C52</f>
        <v>0</v>
      </c>
      <c r="D43" s="551">
        <v>38</v>
      </c>
      <c r="E43" s="581">
        <f>IFERROR(VLOOKUP(D43,[1]BVAP!A$4:B$33,2,FALSE),0)</f>
        <v>0</v>
      </c>
      <c r="G43" s="581">
        <f>IFERROR(VLOOKUP(D43,[1]BVAP!A$5:C$26,3,FALSE),0)</f>
        <v>0</v>
      </c>
      <c r="I43" s="581">
        <f>IFERROR(VLOOKUP(D43,[1]BVAP!A$4:D$33,4,FALSE),0)</f>
        <v>0</v>
      </c>
      <c r="K43" s="581">
        <f>IFERROR(VLOOKUP(D43,[1]BVAP!A$4:F$33,5,FALSE),0)</f>
        <v>0</v>
      </c>
      <c r="M43" s="581">
        <f t="shared" si="0"/>
        <v>0</v>
      </c>
      <c r="N43" s="582" t="e">
        <f t="shared" si="1"/>
        <v>#DIV/0!</v>
      </c>
      <c r="O43" s="583">
        <f t="shared" si="2"/>
        <v>0</v>
      </c>
      <c r="P43" s="584">
        <v>0</v>
      </c>
    </row>
    <row r="44" spans="1:16" ht="12" x14ac:dyDescent="0.3">
      <c r="A44" s="605" t="s">
        <v>214</v>
      </c>
      <c r="B44" s="604" t="s">
        <v>117</v>
      </c>
      <c r="C44" s="596">
        <f>[1]Budget!C53</f>
        <v>20</v>
      </c>
      <c r="D44" s="551">
        <v>39</v>
      </c>
      <c r="E44" s="581">
        <v>20</v>
      </c>
      <c r="G44" s="581">
        <f>IFERROR(VLOOKUP(D44,[1]BVAP!A$5:C$26,3,FALSE),0)</f>
        <v>0</v>
      </c>
      <c r="I44" s="581">
        <v>25</v>
      </c>
      <c r="K44" s="581">
        <f>IFERROR(VLOOKUP(D44,[1]BVAP!A$4:F$33,5,FALSE),0)</f>
        <v>0</v>
      </c>
      <c r="M44" s="581">
        <f t="shared" si="0"/>
        <v>45</v>
      </c>
      <c r="N44" s="582">
        <f t="shared" si="1"/>
        <v>2.25</v>
      </c>
      <c r="O44" s="583">
        <f t="shared" si="2"/>
        <v>-25</v>
      </c>
      <c r="P44" s="584">
        <v>25</v>
      </c>
    </row>
    <row r="45" spans="1:16" ht="12" x14ac:dyDescent="0.3">
      <c r="A45" s="605" t="s">
        <v>31</v>
      </c>
      <c r="B45" s="604" t="s">
        <v>452</v>
      </c>
      <c r="C45" s="596">
        <f>[1]Budget!C54</f>
        <v>0</v>
      </c>
      <c r="D45" s="551">
        <v>40</v>
      </c>
      <c r="E45" s="581">
        <f>IFERROR(VLOOKUP(D45,[1]BVAP!A$4:B$33,2,FALSE),0)</f>
        <v>0</v>
      </c>
      <c r="G45" s="581">
        <f>IFERROR(VLOOKUP(D45,[1]BVAP!A$5:C$26,3,FALSE),0)</f>
        <v>0</v>
      </c>
      <c r="I45" s="581">
        <f>IFERROR(VLOOKUP(D45,[1]BVAP!A$4:D$33,4,FALSE),0)</f>
        <v>0</v>
      </c>
      <c r="K45" s="581">
        <f>IFERROR(VLOOKUP(D45,[1]BVAP!A$4:F$33,5,FALSE),0)</f>
        <v>0</v>
      </c>
      <c r="M45" s="581">
        <f t="shared" si="0"/>
        <v>0</v>
      </c>
      <c r="N45" s="582" t="e">
        <f t="shared" si="1"/>
        <v>#DIV/0!</v>
      </c>
      <c r="O45" s="583">
        <f t="shared" si="2"/>
        <v>0</v>
      </c>
      <c r="P45" s="584">
        <v>0</v>
      </c>
    </row>
    <row r="46" spans="1:16" ht="12" thickBot="1" x14ac:dyDescent="0.3">
      <c r="A46" s="602" t="s">
        <v>453</v>
      </c>
      <c r="B46" s="606"/>
      <c r="C46" s="607">
        <f>SUM(C41:C45)</f>
        <v>578</v>
      </c>
      <c r="E46" s="607">
        <f>SUM(E41:E45)</f>
        <v>563.24</v>
      </c>
      <c r="G46" s="607">
        <f>SUM(G41:G45)</f>
        <v>0</v>
      </c>
      <c r="I46" s="607">
        <f>SUM(I41:I45)</f>
        <v>25</v>
      </c>
      <c r="K46" s="607">
        <f>SUM(K41:K45)</f>
        <v>0</v>
      </c>
      <c r="M46" s="589">
        <f t="shared" si="0"/>
        <v>588.24</v>
      </c>
      <c r="N46" s="590">
        <f t="shared" si="1"/>
        <v>1.0177162629757786</v>
      </c>
      <c r="O46" s="591">
        <f t="shared" si="2"/>
        <v>-10.240000000000009</v>
      </c>
      <c r="P46" s="584"/>
    </row>
    <row r="47" spans="1:16" ht="12" thickTop="1" x14ac:dyDescent="0.25">
      <c r="A47" s="609" t="s">
        <v>387</v>
      </c>
      <c r="B47" s="610"/>
      <c r="C47" s="580"/>
      <c r="E47" s="581"/>
      <c r="G47" s="581"/>
      <c r="I47" s="581"/>
      <c r="K47" s="581"/>
      <c r="M47" s="581">
        <f t="shared" si="0"/>
        <v>0</v>
      </c>
      <c r="N47" s="582"/>
      <c r="O47" s="583">
        <f t="shared" si="2"/>
        <v>0</v>
      </c>
      <c r="P47" s="584"/>
    </row>
    <row r="48" spans="1:16" ht="12" x14ac:dyDescent="0.3">
      <c r="A48" s="605" t="s">
        <v>454</v>
      </c>
      <c r="B48" s="604" t="s">
        <v>193</v>
      </c>
      <c r="C48" s="596">
        <f>[1]Budget!C57</f>
        <v>1000</v>
      </c>
      <c r="D48" s="551">
        <v>41</v>
      </c>
      <c r="E48" s="581">
        <f>IFERROR(VLOOKUP(D48,[1]BVAP!A$4:B$33,2,FALSE),0)</f>
        <v>0</v>
      </c>
      <c r="G48" s="581">
        <f>IFERROR(VLOOKUP(D48,[1]BVAP!A$5:C$26,3,FALSE),0)</f>
        <v>0</v>
      </c>
      <c r="I48" s="581">
        <f>IFERROR(VLOOKUP(D48,[1]BVAP!A$4:D$33,4,FALSE),0)</f>
        <v>550</v>
      </c>
      <c r="K48" s="581">
        <f>IFERROR(VLOOKUP(D48,[1]BVAP!A$4:F$33,5,FALSE),0)</f>
        <v>50</v>
      </c>
      <c r="M48" s="581">
        <f t="shared" si="0"/>
        <v>600</v>
      </c>
      <c r="N48" s="582">
        <f t="shared" si="1"/>
        <v>0.6</v>
      </c>
      <c r="O48" s="583">
        <f t="shared" si="2"/>
        <v>400</v>
      </c>
      <c r="P48" s="584">
        <v>1000</v>
      </c>
    </row>
    <row r="49" spans="1:19" ht="12" x14ac:dyDescent="0.3">
      <c r="A49" s="611" t="s">
        <v>455</v>
      </c>
      <c r="B49" s="604" t="s">
        <v>218</v>
      </c>
      <c r="C49" s="596">
        <f>[1]Budget!C58</f>
        <v>1600</v>
      </c>
      <c r="D49" s="551">
        <v>42</v>
      </c>
      <c r="E49" s="581">
        <f>IFERROR(VLOOKUP(D49,[1]BVAP!A$4:B$33,2,FALSE),0)</f>
        <v>0</v>
      </c>
      <c r="G49" s="581">
        <f>IFERROR(VLOOKUP(D49,[1]BVAP!A$5:C$26,3,FALSE),0)</f>
        <v>0</v>
      </c>
      <c r="I49" s="581">
        <f>IFERROR(VLOOKUP(D49,[1]BVAP!A$4:D$33,4,FALSE),0)</f>
        <v>1600</v>
      </c>
      <c r="K49" s="581">
        <f>IFERROR(VLOOKUP(D49,[1]BVAP!A$4:F$33,5,FALSE),0)</f>
        <v>0</v>
      </c>
      <c r="M49" s="581">
        <f t="shared" si="0"/>
        <v>1600</v>
      </c>
      <c r="N49" s="582">
        <f t="shared" si="1"/>
        <v>1</v>
      </c>
      <c r="O49" s="583">
        <f t="shared" si="2"/>
        <v>0</v>
      </c>
      <c r="P49" s="584">
        <v>1700</v>
      </c>
    </row>
    <row r="50" spans="1:19" ht="12" thickBot="1" x14ac:dyDescent="0.3">
      <c r="A50" s="602" t="s">
        <v>456</v>
      </c>
      <c r="B50" s="606"/>
      <c r="C50" s="607">
        <f>SUM(C48:C49)</f>
        <v>2600</v>
      </c>
      <c r="E50" s="607">
        <f>SUM(E48:E49)</f>
        <v>0</v>
      </c>
      <c r="F50" s="560"/>
      <c r="G50" s="607">
        <f>SUM(G48:G49)</f>
        <v>0</v>
      </c>
      <c r="H50" s="560"/>
      <c r="I50" s="607">
        <f>SUM(I48:I49)</f>
        <v>2150</v>
      </c>
      <c r="J50" s="560"/>
      <c r="K50" s="607">
        <f>SUM(K48:K49)</f>
        <v>50</v>
      </c>
      <c r="M50" s="589">
        <f t="shared" si="0"/>
        <v>2200</v>
      </c>
      <c r="N50" s="590">
        <f t="shared" si="1"/>
        <v>0.84615384615384615</v>
      </c>
      <c r="O50" s="591">
        <f t="shared" si="2"/>
        <v>400</v>
      </c>
      <c r="P50" s="584"/>
    </row>
    <row r="51" spans="1:19" ht="12" thickTop="1" x14ac:dyDescent="0.25">
      <c r="A51" s="603" t="s">
        <v>388</v>
      </c>
      <c r="B51" s="579"/>
      <c r="C51" s="596"/>
      <c r="E51" s="581"/>
      <c r="G51" s="581"/>
      <c r="I51" s="581"/>
      <c r="K51" s="581"/>
      <c r="M51" s="581">
        <f t="shared" si="0"/>
        <v>0</v>
      </c>
      <c r="N51" s="582"/>
      <c r="O51" s="583">
        <f t="shared" si="2"/>
        <v>0</v>
      </c>
      <c r="P51" s="584"/>
    </row>
    <row r="52" spans="1:19" x14ac:dyDescent="0.25">
      <c r="A52" s="595" t="s">
        <v>457</v>
      </c>
      <c r="B52" s="579" t="s">
        <v>241</v>
      </c>
      <c r="C52" s="596">
        <f>[1]Budget!C61</f>
        <v>2300</v>
      </c>
      <c r="D52" s="551">
        <v>43</v>
      </c>
      <c r="E52" s="581">
        <f>IFERROR(VLOOKUP(D52,[1]BVAP!A$4:B$33,2,FALSE),0)</f>
        <v>0</v>
      </c>
      <c r="G52" s="581">
        <f>IFERROR(VLOOKUP(D52,[1]BVAP!A$5:C$26,3,FALSE),0)</f>
        <v>0</v>
      </c>
      <c r="I52" s="581">
        <f>IFERROR(VLOOKUP(D52,[1]BVAP!A$4:D$33,4,FALSE),0)</f>
        <v>0</v>
      </c>
      <c r="K52" s="581">
        <f>IFERROR(VLOOKUP(D52,[1]BVAP!A$4:F$43,5,FALSE),0)</f>
        <v>2395</v>
      </c>
      <c r="M52" s="581">
        <f t="shared" si="0"/>
        <v>2395</v>
      </c>
      <c r="N52" s="582">
        <f t="shared" si="1"/>
        <v>1.0413043478260871</v>
      </c>
      <c r="O52" s="583">
        <f t="shared" si="2"/>
        <v>-95</v>
      </c>
      <c r="P52" s="584">
        <v>2300</v>
      </c>
    </row>
    <row r="53" spans="1:19" x14ac:dyDescent="0.25">
      <c r="A53" s="595" t="s">
        <v>458</v>
      </c>
      <c r="B53" s="579" t="s">
        <v>72</v>
      </c>
      <c r="C53" s="596">
        <f>[1]Budget!C62</f>
        <v>13</v>
      </c>
      <c r="D53" s="551">
        <v>44</v>
      </c>
      <c r="E53" s="581">
        <f>IFERROR(VLOOKUP(D53,[1]BVAP!A$4:B$33,2,FALSE),0)</f>
        <v>13.92</v>
      </c>
      <c r="G53" s="581">
        <f>IFERROR(VLOOKUP(D53,[1]BVAP!A$5:C$29,3,FALSE),0)</f>
        <v>0</v>
      </c>
      <c r="I53" s="581">
        <f>IFERROR(VLOOKUP(D53,[1]BVAP!A$4:D$33,4,FALSE),0)</f>
        <v>0</v>
      </c>
      <c r="K53" s="581">
        <f>IFERROR(VLOOKUP(D53,[1]BVAP!A$4:F$33,5,FALSE),0)</f>
        <v>0</v>
      </c>
      <c r="M53" s="581">
        <f t="shared" si="0"/>
        <v>13.92</v>
      </c>
      <c r="N53" s="582">
        <f t="shared" si="1"/>
        <v>1.0707692307692307</v>
      </c>
      <c r="O53" s="583">
        <f t="shared" si="2"/>
        <v>-0.91999999999999993</v>
      </c>
      <c r="P53" s="584">
        <v>15</v>
      </c>
    </row>
    <row r="54" spans="1:19" x14ac:dyDescent="0.25">
      <c r="A54" s="595" t="s">
        <v>459</v>
      </c>
      <c r="B54" s="579" t="s">
        <v>204</v>
      </c>
      <c r="C54" s="596">
        <f>[1]Budget!C63</f>
        <v>500</v>
      </c>
      <c r="D54" s="551">
        <v>45</v>
      </c>
      <c r="E54" s="581">
        <f>IFERROR(VLOOKUP(D54,[1]BVAP!A$4:B$33,2,FALSE),0)</f>
        <v>0</v>
      </c>
      <c r="G54" s="581">
        <f>IFERROR(VLOOKUP(D54,[1]BVAP!A$5:C$29,3,FALSE),0)</f>
        <v>0</v>
      </c>
      <c r="I54" s="581">
        <f>IFERROR(VLOOKUP(D54,[1]BVAP!A$4:D$33,4,FALSE),0)</f>
        <v>719.7</v>
      </c>
      <c r="K54" s="581">
        <f>IFERROR(VLOOKUP(D54,[1]BVAP!A$4:F$33,5,FALSE),0)</f>
        <v>180</v>
      </c>
      <c r="M54" s="581">
        <f t="shared" si="0"/>
        <v>899.7</v>
      </c>
      <c r="N54" s="582">
        <f t="shared" si="1"/>
        <v>1.7994000000000001</v>
      </c>
      <c r="O54" s="583">
        <f t="shared" si="2"/>
        <v>-399.70000000000005</v>
      </c>
      <c r="P54" s="584">
        <v>500</v>
      </c>
    </row>
    <row r="55" spans="1:19" ht="12" thickBot="1" x14ac:dyDescent="0.3">
      <c r="A55" s="602" t="s">
        <v>460</v>
      </c>
      <c r="B55" s="606"/>
      <c r="C55" s="607">
        <f>SUM(C52:C54)</f>
        <v>2813</v>
      </c>
      <c r="E55" s="607">
        <f>SUM(E52:E54)</f>
        <v>13.92</v>
      </c>
      <c r="F55" s="560"/>
      <c r="G55" s="607">
        <f>SUM(G52:G54)</f>
        <v>0</v>
      </c>
      <c r="H55" s="607">
        <f>SUM(H52:H54)</f>
        <v>0</v>
      </c>
      <c r="I55" s="607">
        <f>SUM(I52:I54)</f>
        <v>719.7</v>
      </c>
      <c r="J55" s="560"/>
      <c r="K55" s="607">
        <f>SUM(K52:K54)</f>
        <v>2575</v>
      </c>
      <c r="M55" s="589">
        <f t="shared" si="0"/>
        <v>3308.62</v>
      </c>
      <c r="N55" s="590">
        <f t="shared" si="1"/>
        <v>1.1761891219338785</v>
      </c>
      <c r="O55" s="591">
        <f t="shared" si="2"/>
        <v>-495.61999999999989</v>
      </c>
      <c r="P55" s="584"/>
    </row>
    <row r="56" spans="1:19" ht="12" thickTop="1" x14ac:dyDescent="0.25">
      <c r="A56" s="609" t="s">
        <v>389</v>
      </c>
      <c r="B56" s="610"/>
      <c r="C56" s="580"/>
      <c r="E56" s="581"/>
      <c r="G56" s="581"/>
      <c r="I56" s="581"/>
      <c r="K56" s="581"/>
      <c r="M56" s="581">
        <f t="shared" si="0"/>
        <v>0</v>
      </c>
      <c r="N56" s="582"/>
      <c r="O56" s="583">
        <f t="shared" si="2"/>
        <v>0</v>
      </c>
      <c r="P56" s="584"/>
    </row>
    <row r="57" spans="1:19" ht="12" x14ac:dyDescent="0.3">
      <c r="A57" s="605" t="s">
        <v>461</v>
      </c>
      <c r="B57" s="604" t="s">
        <v>63</v>
      </c>
      <c r="C57" s="596">
        <f>[1]Budget!C66</f>
        <v>126</v>
      </c>
      <c r="D57" s="551">
        <v>46</v>
      </c>
      <c r="E57" s="581">
        <f>IFERROR(VLOOKUP(D57,[1]BVAP!A$4:B$33,2,FALSE),0)</f>
        <v>21.7</v>
      </c>
      <c r="G57" s="581">
        <f>IFERROR(VLOOKUP(D57,[1]BVAP!A$5:C$29,3,FALSE),0)</f>
        <v>0</v>
      </c>
      <c r="I57" s="581">
        <f>IFERROR(VLOOKUP(D57,[1]BVAP!A$4:D$33,4,FALSE),0)</f>
        <v>193.01999999999998</v>
      </c>
      <c r="K57" s="581">
        <f>IFERROR(VLOOKUP(D57,[1]BVAP!A$4:F$33,5,FALSE),0)</f>
        <v>0</v>
      </c>
      <c r="M57" s="581">
        <v>0</v>
      </c>
      <c r="N57" s="582">
        <f t="shared" si="1"/>
        <v>0</v>
      </c>
      <c r="O57" s="583">
        <f t="shared" si="2"/>
        <v>126</v>
      </c>
      <c r="P57" s="584">
        <v>200</v>
      </c>
    </row>
    <row r="58" spans="1:19" ht="12" thickBot="1" x14ac:dyDescent="0.3">
      <c r="A58" s="587" t="s">
        <v>462</v>
      </c>
      <c r="B58" s="612"/>
      <c r="C58" s="588">
        <f>SUM(C56:C57)</f>
        <v>126</v>
      </c>
      <c r="E58" s="588">
        <f>SUM(E56:E57)</f>
        <v>21.7</v>
      </c>
      <c r="F58" s="560"/>
      <c r="G58" s="588">
        <f>SUM(G56:G57)</f>
        <v>0</v>
      </c>
      <c r="H58" s="560"/>
      <c r="I58" s="588">
        <f>SUM(I56:I57)</f>
        <v>193.01999999999998</v>
      </c>
      <c r="J58" s="560"/>
      <c r="K58" s="588">
        <f>SUM(K56:K57)</f>
        <v>0</v>
      </c>
      <c r="M58" s="613">
        <f t="shared" si="0"/>
        <v>214.71999999999997</v>
      </c>
      <c r="N58" s="614">
        <f t="shared" si="1"/>
        <v>1.7041269841269839</v>
      </c>
      <c r="O58" s="615">
        <f t="shared" si="2"/>
        <v>-88.71999999999997</v>
      </c>
      <c r="P58" s="584"/>
    </row>
    <row r="59" spans="1:19" ht="12" thickBot="1" x14ac:dyDescent="0.3">
      <c r="A59" s="616" t="s">
        <v>463</v>
      </c>
      <c r="B59" s="617"/>
      <c r="C59" s="618">
        <f>SUM(C58+C55+C50+C46+C39+C36+C29+C10)</f>
        <v>25441</v>
      </c>
      <c r="D59" s="619"/>
      <c r="E59" s="618">
        <f t="shared" ref="E59:O59" si="3">SUM(E58+E55+E50+E46+E39+E36+E29+E10)</f>
        <v>6624.7800000000007</v>
      </c>
      <c r="F59" s="620"/>
      <c r="G59" s="618">
        <f t="shared" si="3"/>
        <v>5350.54</v>
      </c>
      <c r="H59" s="620">
        <f t="shared" si="3"/>
        <v>0</v>
      </c>
      <c r="I59" s="618">
        <f t="shared" si="3"/>
        <v>7578.91</v>
      </c>
      <c r="J59" s="620"/>
      <c r="K59" s="618">
        <f t="shared" si="3"/>
        <v>6779.1900000000005</v>
      </c>
      <c r="L59" s="621"/>
      <c r="M59" s="622">
        <f t="shared" si="3"/>
        <v>26333.42</v>
      </c>
      <c r="N59" s="618">
        <f t="shared" si="3"/>
        <v>8.7895349690446647</v>
      </c>
      <c r="O59" s="623">
        <f t="shared" si="3"/>
        <v>-892.41999999999871</v>
      </c>
      <c r="P59" s="624">
        <f>SUM(P6:P58)</f>
        <v>26370</v>
      </c>
      <c r="Q59" s="552"/>
      <c r="S59" s="625"/>
    </row>
    <row r="60" spans="1:19" ht="12" thickBot="1" x14ac:dyDescent="0.3">
      <c r="A60" s="626"/>
      <c r="B60" s="627"/>
      <c r="C60" s="628"/>
      <c r="M60" s="552"/>
      <c r="N60" s="629"/>
      <c r="O60" s="552"/>
      <c r="P60" s="577"/>
    </row>
    <row r="61" spans="1:19" x14ac:dyDescent="0.25">
      <c r="A61" s="630" t="s">
        <v>464</v>
      </c>
      <c r="B61" s="631"/>
      <c r="C61" s="632"/>
      <c r="D61" s="633"/>
      <c r="E61" s="634"/>
      <c r="F61" s="635"/>
      <c r="G61" s="634"/>
      <c r="H61" s="635"/>
      <c r="I61" s="634"/>
      <c r="J61" s="635"/>
      <c r="K61" s="634"/>
      <c r="L61" s="633"/>
      <c r="M61" s="634"/>
      <c r="N61" s="636"/>
      <c r="O61" s="637"/>
      <c r="P61" s="577"/>
    </row>
    <row r="62" spans="1:19" x14ac:dyDescent="0.25">
      <c r="A62" s="638" t="s">
        <v>465</v>
      </c>
      <c r="B62" s="639" t="s">
        <v>89</v>
      </c>
      <c r="C62" s="596">
        <f>33500+30445+7764.33</f>
        <v>71709.33</v>
      </c>
      <c r="D62" s="551">
        <v>47</v>
      </c>
      <c r="E62" s="581">
        <f>IFERROR(VLOOKUP(D62,[1]BVAP!A$4:B$33,2,FALSE),0)</f>
        <v>720</v>
      </c>
      <c r="G62" s="581">
        <f>IFERROR(VLOOKUP(D62,[1]BVAP!A$5:C$29,3,FALSE),0)</f>
        <v>64488.229999999996</v>
      </c>
      <c r="I62" s="581">
        <f>IFERROR(VLOOKUP(D62,[1]BVAP!A$4:D$33,4,FALSE),0)</f>
        <v>9771.9199999999983</v>
      </c>
      <c r="K62" s="581">
        <f>IFERROR(VLOOKUP(D62,[1]BVAP!A$4:F$33,5,FALSE),0)</f>
        <v>5303.82</v>
      </c>
      <c r="M62" s="581">
        <f t="shared" si="0"/>
        <v>80283.97</v>
      </c>
      <c r="N62" s="582">
        <f t="shared" si="1"/>
        <v>1.1195749562853257</v>
      </c>
      <c r="O62" s="583">
        <f t="shared" si="2"/>
        <v>-8574.64</v>
      </c>
      <c r="P62" s="577"/>
    </row>
    <row r="63" spans="1:19" x14ac:dyDescent="0.25">
      <c r="A63" s="638" t="s">
        <v>466</v>
      </c>
      <c r="B63" s="639" t="s">
        <v>467</v>
      </c>
      <c r="C63" s="596">
        <v>18504</v>
      </c>
      <c r="D63" s="551">
        <v>48</v>
      </c>
      <c r="E63" s="581">
        <f>IFERROR(VLOOKUP(D63,[1]BVAP!A$4:B$33,2,FALSE),0)</f>
        <v>0</v>
      </c>
      <c r="G63" s="581">
        <f>IFERROR(VLOOKUP(D63,[1]BVAP!A$5:C$26,3,FALSE),0)</f>
        <v>0</v>
      </c>
      <c r="I63" s="581">
        <f>IFERROR(VLOOKUP(D63,[1]BVAP!A$4:D$33,4,FALSE),0)</f>
        <v>0</v>
      </c>
      <c r="K63" s="581">
        <f>IFERROR(VLOOKUP(D63,[1]BVAP!A$4:F$33,5,FALSE),0)</f>
        <v>0</v>
      </c>
      <c r="M63" s="581">
        <f t="shared" si="0"/>
        <v>0</v>
      </c>
      <c r="N63" s="582">
        <f t="shared" si="1"/>
        <v>0</v>
      </c>
      <c r="O63" s="583">
        <f t="shared" si="2"/>
        <v>18504</v>
      </c>
      <c r="P63" s="577"/>
    </row>
    <row r="64" spans="1:19" x14ac:dyDescent="0.25">
      <c r="A64" s="640" t="s">
        <v>468</v>
      </c>
      <c r="B64" s="641"/>
      <c r="C64" s="642">
        <f>SUM(C61:C63)</f>
        <v>90213.33</v>
      </c>
      <c r="E64" s="642">
        <f>SUM(E61:E63)</f>
        <v>720</v>
      </c>
      <c r="F64" s="560"/>
      <c r="G64" s="642">
        <f>SUM(G61:G63)</f>
        <v>64488.229999999996</v>
      </c>
      <c r="H64" s="560"/>
      <c r="I64" s="642">
        <f>SUM(I61:I63)</f>
        <v>9771.9199999999983</v>
      </c>
      <c r="J64" s="560"/>
      <c r="K64" s="642">
        <f>SUM(K61:K63)</f>
        <v>5303.82</v>
      </c>
      <c r="M64" s="589">
        <f t="shared" si="0"/>
        <v>80283.97</v>
      </c>
      <c r="N64" s="590">
        <f t="shared" si="1"/>
        <v>0.88993466929998044</v>
      </c>
      <c r="O64" s="591">
        <f t="shared" si="2"/>
        <v>9929.36</v>
      </c>
      <c r="P64" s="577"/>
    </row>
    <row r="65" spans="1:16" x14ac:dyDescent="0.25">
      <c r="A65" s="643"/>
      <c r="B65" s="644"/>
      <c r="C65" s="580"/>
      <c r="E65" s="581"/>
      <c r="G65" s="581"/>
      <c r="I65" s="581"/>
      <c r="K65" s="581"/>
      <c r="M65" s="581">
        <f t="shared" si="0"/>
        <v>0</v>
      </c>
      <c r="N65" s="582"/>
      <c r="O65" s="583">
        <f t="shared" si="2"/>
        <v>0</v>
      </c>
      <c r="P65" s="577"/>
    </row>
    <row r="66" spans="1:16" x14ac:dyDescent="0.25">
      <c r="A66" s="645" t="s">
        <v>390</v>
      </c>
      <c r="B66" s="646"/>
      <c r="C66" s="647"/>
      <c r="E66" s="648"/>
      <c r="G66" s="648"/>
      <c r="I66" s="648"/>
      <c r="K66" s="648"/>
      <c r="M66" s="648">
        <f t="shared" si="0"/>
        <v>0</v>
      </c>
      <c r="N66" s="649"/>
      <c r="O66" s="591">
        <f t="shared" si="2"/>
        <v>0</v>
      </c>
      <c r="P66" s="577"/>
    </row>
    <row r="67" spans="1:16" x14ac:dyDescent="0.25">
      <c r="A67" s="650" t="s">
        <v>469</v>
      </c>
      <c r="B67" s="651"/>
      <c r="C67" s="580"/>
      <c r="E67" s="581"/>
      <c r="G67" s="581"/>
      <c r="I67" s="581"/>
      <c r="K67" s="581"/>
      <c r="M67" s="581">
        <f t="shared" si="0"/>
        <v>0</v>
      </c>
      <c r="N67" s="582"/>
      <c r="O67" s="583">
        <f t="shared" si="2"/>
        <v>0</v>
      </c>
      <c r="P67" s="577"/>
    </row>
    <row r="68" spans="1:16" ht="12" x14ac:dyDescent="0.3">
      <c r="A68" s="652" t="s">
        <v>470</v>
      </c>
      <c r="B68" s="579" t="s">
        <v>60</v>
      </c>
      <c r="C68" s="653"/>
      <c r="D68" s="551">
        <v>49</v>
      </c>
      <c r="E68" s="581">
        <f>IFERROR(VLOOKUP(D68,[1]BVAP!A$4:B$33,2,FALSE),0)</f>
        <v>215.14999999999998</v>
      </c>
      <c r="G68" s="581">
        <f>IFERROR(VLOOKUP(D68,[1]BVAP!A$5:C$29,3,FALSE),0)</f>
        <v>0</v>
      </c>
      <c r="I68" s="581">
        <f>IFERROR(VLOOKUP(D68,[1]BVAP!A$4:D$33,4,FALSE),0)</f>
        <v>4979.5</v>
      </c>
      <c r="K68" s="581">
        <f>IFERROR(VLOOKUP(D68,[1]BVAP!A$4:F$33,5,FALSE),0)</f>
        <v>78</v>
      </c>
      <c r="M68" s="581">
        <f t="shared" si="0"/>
        <v>5272.65</v>
      </c>
      <c r="N68" s="582"/>
      <c r="O68" s="583">
        <f t="shared" si="2"/>
        <v>-5272.65</v>
      </c>
      <c r="P68" s="577"/>
    </row>
    <row r="69" spans="1:16" ht="12" x14ac:dyDescent="0.3">
      <c r="A69" s="652"/>
      <c r="B69" s="579"/>
      <c r="C69" s="653"/>
      <c r="E69" s="581"/>
      <c r="G69" s="581"/>
      <c r="I69" s="581"/>
      <c r="K69" s="581"/>
      <c r="M69" s="581">
        <f t="shared" si="0"/>
        <v>0</v>
      </c>
      <c r="N69" s="582"/>
      <c r="O69" s="583">
        <f t="shared" si="2"/>
        <v>0</v>
      </c>
      <c r="P69" s="577"/>
    </row>
    <row r="70" spans="1:16" ht="12" thickBot="1" x14ac:dyDescent="0.3">
      <c r="A70" s="654" t="s">
        <v>471</v>
      </c>
      <c r="B70" s="606"/>
      <c r="C70" s="607">
        <f>SUM(C67:C68)</f>
        <v>0</v>
      </c>
      <c r="E70" s="607">
        <f>SUM(E67:E68)</f>
        <v>215.14999999999998</v>
      </c>
      <c r="G70" s="607">
        <f>SUM(G67:G68)</f>
        <v>0</v>
      </c>
      <c r="I70" s="607">
        <f>SUM(I67:I68)</f>
        <v>4979.5</v>
      </c>
      <c r="K70" s="607">
        <f>SUM(K67:K68)</f>
        <v>78</v>
      </c>
      <c r="M70" s="648">
        <f t="shared" si="0"/>
        <v>5272.65</v>
      </c>
      <c r="N70" s="590">
        <v>0</v>
      </c>
      <c r="O70" s="591">
        <f t="shared" si="2"/>
        <v>-5272.65</v>
      </c>
      <c r="P70" s="577"/>
    </row>
    <row r="71" spans="1:16" ht="12.5" thickTop="1" thickBot="1" x14ac:dyDescent="0.3">
      <c r="A71" s="655" t="s">
        <v>472</v>
      </c>
      <c r="B71" s="656"/>
      <c r="C71" s="657">
        <f>C64+C70</f>
        <v>90213.33</v>
      </c>
      <c r="D71" s="658"/>
      <c r="E71" s="657">
        <f>SUM(E64+E70)</f>
        <v>935.15</v>
      </c>
      <c r="F71" s="659"/>
      <c r="G71" s="657">
        <f>SUM(G64+G70)</f>
        <v>64488.229999999996</v>
      </c>
      <c r="H71" s="659"/>
      <c r="I71" s="657">
        <f>SUM(I64+I70)</f>
        <v>14751.419999999998</v>
      </c>
      <c r="J71" s="659"/>
      <c r="K71" s="657">
        <f>SUM(K64+K70)</f>
        <v>5381.82</v>
      </c>
      <c r="L71" s="660"/>
      <c r="M71" s="657">
        <f>SUM(M64+M70)</f>
        <v>85556.62</v>
      </c>
      <c r="N71" s="661">
        <f>SUM(N64+N70)</f>
        <v>0.88993466929998044</v>
      </c>
      <c r="O71" s="662">
        <f>SUM(O64+O70)</f>
        <v>4656.7100000000009</v>
      </c>
      <c r="P71" s="571"/>
    </row>
    <row r="72" spans="1:16" s="668" customFormat="1" x14ac:dyDescent="0.25">
      <c r="A72" s="663"/>
      <c r="B72" s="664"/>
      <c r="C72" s="665"/>
      <c r="D72" s="666"/>
      <c r="E72" s="665"/>
      <c r="F72" s="667"/>
      <c r="G72" s="665"/>
      <c r="H72" s="667"/>
      <c r="I72" s="665"/>
      <c r="J72" s="667"/>
      <c r="K72" s="665"/>
      <c r="M72" s="665"/>
      <c r="N72" s="669"/>
      <c r="O72" s="665"/>
    </row>
    <row r="73" spans="1:16" x14ac:dyDescent="0.25">
      <c r="A73" s="553" t="s">
        <v>25</v>
      </c>
      <c r="E73" s="552">
        <f>'[1]Cash book'!H47</f>
        <v>546.93000000000006</v>
      </c>
      <c r="G73" s="552">
        <f>'[1]Cash book'!H85</f>
        <v>13226.08</v>
      </c>
      <c r="I73" s="552">
        <f>'[1]Cash book'!H146</f>
        <v>3239.5699999999993</v>
      </c>
      <c r="K73" s="552">
        <f>'[1]Cash book'!H186</f>
        <v>1887.5199999999995</v>
      </c>
      <c r="M73" s="552">
        <f>'[1]Cash book'!H191</f>
        <v>18900.099999999999</v>
      </c>
      <c r="N73" s="670">
        <f>'[1]Cash book'!H191</f>
        <v>18900.099999999999</v>
      </c>
      <c r="O73" s="552">
        <f>N73-M73</f>
        <v>0</v>
      </c>
    </row>
    <row r="74" spans="1:16" s="550" customFormat="1" x14ac:dyDescent="0.25">
      <c r="A74" s="671" t="s">
        <v>473</v>
      </c>
      <c r="B74" s="671"/>
      <c r="C74" s="671"/>
      <c r="D74" s="672"/>
      <c r="E74" s="673">
        <f>SUM(E71+E59+E73)</f>
        <v>8106.8600000000006</v>
      </c>
      <c r="F74" s="673">
        <f t="shared" ref="F74:M74" si="4">SUM(F71+F59+F73)</f>
        <v>0</v>
      </c>
      <c r="G74" s="673">
        <f t="shared" si="4"/>
        <v>83064.849999999991</v>
      </c>
      <c r="H74" s="673">
        <f t="shared" si="4"/>
        <v>0</v>
      </c>
      <c r="I74" s="673">
        <f>SUM(I71+I59+I73)</f>
        <v>25569.899999999998</v>
      </c>
      <c r="J74" s="673">
        <f t="shared" si="4"/>
        <v>0</v>
      </c>
      <c r="K74" s="673">
        <f t="shared" si="4"/>
        <v>14048.529999999999</v>
      </c>
      <c r="L74" s="673"/>
      <c r="M74" s="673">
        <f t="shared" si="4"/>
        <v>130790.13999999998</v>
      </c>
      <c r="N74" s="674">
        <f>'[1]Cash book'!I191</f>
        <v>130790.14</v>
      </c>
      <c r="O74" s="673">
        <f>N74-M74</f>
        <v>0</v>
      </c>
    </row>
    <row r="75" spans="1:16" x14ac:dyDescent="0.25">
      <c r="A75" s="553" t="s">
        <v>474</v>
      </c>
      <c r="E75" s="552">
        <f>E74-E73</f>
        <v>7559.93</v>
      </c>
      <c r="F75" s="552">
        <f t="shared" ref="F75:L75" si="5">F74-F73</f>
        <v>0</v>
      </c>
      <c r="G75" s="552">
        <f t="shared" si="5"/>
        <v>69838.76999999999</v>
      </c>
      <c r="H75" s="552">
        <f t="shared" si="5"/>
        <v>0</v>
      </c>
      <c r="I75" s="552">
        <f t="shared" si="5"/>
        <v>22330.329999999998</v>
      </c>
      <c r="J75" s="552">
        <f t="shared" si="5"/>
        <v>0</v>
      </c>
      <c r="K75" s="552">
        <f>K74-K73</f>
        <v>12161.009999999998</v>
      </c>
      <c r="L75" s="552">
        <f t="shared" si="5"/>
        <v>0</v>
      </c>
      <c r="M75" s="552">
        <f>M74-M73</f>
        <v>111890.03999999998</v>
      </c>
      <c r="N75" s="675"/>
      <c r="O75" s="552"/>
    </row>
    <row r="76" spans="1:16" x14ac:dyDescent="0.25">
      <c r="A76" s="676" t="s">
        <v>475</v>
      </c>
      <c r="E76" s="677" t="s">
        <v>476</v>
      </c>
      <c r="M76" s="552"/>
      <c r="N76" s="678"/>
    </row>
    <row r="77" spans="1:16" x14ac:dyDescent="0.25">
      <c r="A77" s="553" t="s">
        <v>477</v>
      </c>
      <c r="B77" s="552">
        <f>'[1]Ledger Receipts'!I110</f>
        <v>2536.04</v>
      </c>
      <c r="E77" s="679" t="s">
        <v>478</v>
      </c>
      <c r="G77" s="552">
        <f>'[1]Ledger Receipts'!M7</f>
        <v>59782.11</v>
      </c>
      <c r="M77" s="552"/>
      <c r="N77" s="678"/>
    </row>
    <row r="78" spans="1:16" x14ac:dyDescent="0.25">
      <c r="A78" s="553" t="s">
        <v>479</v>
      </c>
      <c r="B78" s="552">
        <f>'[1]Ledger Receipts'!I111</f>
        <v>20000</v>
      </c>
      <c r="E78" s="679" t="s">
        <v>480</v>
      </c>
      <c r="G78" s="552">
        <f>M74</f>
        <v>130790.13999999998</v>
      </c>
      <c r="M78" s="552"/>
      <c r="N78" s="678"/>
    </row>
    <row r="79" spans="1:16" x14ac:dyDescent="0.25">
      <c r="A79" s="553" t="s">
        <v>481</v>
      </c>
      <c r="B79" s="552">
        <f>'[1]Ledger Receipts'!I114</f>
        <v>0</v>
      </c>
      <c r="E79" s="679" t="s">
        <v>482</v>
      </c>
      <c r="G79" s="552">
        <f>'[1]Ledger Receipts'!I123</f>
        <v>93544.07</v>
      </c>
      <c r="M79" s="552"/>
      <c r="N79" s="678"/>
    </row>
    <row r="80" spans="1:16" x14ac:dyDescent="0.25">
      <c r="A80" s="553" t="s">
        <v>483</v>
      </c>
      <c r="B80" s="673">
        <f>SUM(B77:B79)</f>
        <v>22536.04</v>
      </c>
      <c r="E80" s="680" t="s">
        <v>26</v>
      </c>
      <c r="F80" s="681"/>
      <c r="G80" s="673">
        <f>SUM(G77-G78+G79)</f>
        <v>22536.040000000023</v>
      </c>
      <c r="M80" s="552"/>
      <c r="N80" s="678"/>
    </row>
    <row r="81" spans="13:14" x14ac:dyDescent="0.25">
      <c r="M81" s="552"/>
      <c r="N81" s="678"/>
    </row>
    <row r="82" spans="13:14" x14ac:dyDescent="0.25">
      <c r="M82" s="552"/>
      <c r="N82" s="678"/>
    </row>
    <row r="83" spans="13:14" x14ac:dyDescent="0.25">
      <c r="M83" s="552"/>
      <c r="N83" s="678"/>
    </row>
    <row r="84" spans="13:14" x14ac:dyDescent="0.25">
      <c r="M84" s="552"/>
      <c r="N84" s="678"/>
    </row>
    <row r="85" spans="13:14" x14ac:dyDescent="0.25">
      <c r="M85" s="552"/>
      <c r="N85" s="678"/>
    </row>
    <row r="86" spans="13:14" x14ac:dyDescent="0.25">
      <c r="M86" s="552"/>
      <c r="N86" s="678"/>
    </row>
    <row r="87" spans="13:14" x14ac:dyDescent="0.25">
      <c r="M87" s="552"/>
      <c r="N87" s="678"/>
    </row>
    <row r="88" spans="13:14" x14ac:dyDescent="0.25">
      <c r="M88" s="552"/>
      <c r="N88" s="678"/>
    </row>
  </sheetData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7BE92-CFA9-4E2A-8DE1-FEA07D720589}">
  <sheetPr>
    <tabColor indexed="19"/>
  </sheetPr>
  <dimension ref="A1:O53"/>
  <sheetViews>
    <sheetView topLeftCell="A36" workbookViewId="0">
      <selection activeCell="I56" sqref="I56"/>
    </sheetView>
  </sheetViews>
  <sheetFormatPr defaultRowHeight="12.5" x14ac:dyDescent="0.25"/>
  <cols>
    <col min="1" max="1" width="28.54296875" customWidth="1"/>
    <col min="2" max="2" width="11.81640625" style="404" customWidth="1"/>
    <col min="3" max="3" width="11.54296875" style="404" customWidth="1"/>
    <col min="4" max="4" width="10.453125" style="404" customWidth="1"/>
    <col min="5" max="5" width="10.26953125" style="404" bestFit="1" customWidth="1"/>
    <col min="6" max="6" width="8.7265625" style="404"/>
  </cols>
  <sheetData>
    <row r="1" spans="1:14" ht="13" x14ac:dyDescent="0.3">
      <c r="A1" s="498" t="s">
        <v>5</v>
      </c>
      <c r="B1" s="499"/>
      <c r="C1" s="499"/>
      <c r="D1" s="499"/>
    </row>
    <row r="2" spans="1:14" ht="13" x14ac:dyDescent="0.3">
      <c r="A2" s="498" t="s">
        <v>374</v>
      </c>
      <c r="B2" s="499"/>
      <c r="C2" s="499"/>
      <c r="D2" s="499"/>
    </row>
    <row r="3" spans="1:14" x14ac:dyDescent="0.25">
      <c r="A3" s="500" t="s">
        <v>375</v>
      </c>
      <c r="B3" s="500"/>
      <c r="C3" s="500"/>
      <c r="D3" s="500"/>
    </row>
    <row r="4" spans="1:14" ht="12.75" customHeight="1" x14ac:dyDescent="0.35">
      <c r="A4" s="501"/>
      <c r="B4" s="502" t="s">
        <v>376</v>
      </c>
      <c r="C4" s="503" t="s">
        <v>377</v>
      </c>
      <c r="D4" s="504" t="s">
        <v>378</v>
      </c>
    </row>
    <row r="5" spans="1:14" ht="12.75" customHeight="1" x14ac:dyDescent="0.3">
      <c r="B5" s="502" t="s">
        <v>379</v>
      </c>
      <c r="C5" s="502" t="s">
        <v>379</v>
      </c>
      <c r="D5" s="505"/>
      <c r="H5" s="506"/>
      <c r="I5" s="506"/>
      <c r="J5" s="506"/>
      <c r="K5" s="506"/>
      <c r="L5" s="506"/>
      <c r="M5" s="506"/>
    </row>
    <row r="6" spans="1:14" ht="12.75" customHeight="1" x14ac:dyDescent="0.25">
      <c r="A6" s="507" t="s">
        <v>263</v>
      </c>
      <c r="B6" s="505"/>
      <c r="C6" s="504"/>
      <c r="D6" s="505"/>
    </row>
    <row r="7" spans="1:14" ht="12.75" customHeight="1" x14ac:dyDescent="0.25">
      <c r="A7" s="508" t="s">
        <v>267</v>
      </c>
      <c r="B7" s="509">
        <f>'[1]Ledger Receipts'!D123</f>
        <v>25441</v>
      </c>
      <c r="C7" s="404">
        <v>25441</v>
      </c>
      <c r="D7" s="510">
        <f>B7/C7</f>
        <v>1</v>
      </c>
    </row>
    <row r="8" spans="1:14" ht="12.75" customHeight="1" x14ac:dyDescent="0.3">
      <c r="A8" s="508" t="s">
        <v>380</v>
      </c>
      <c r="B8" s="509">
        <f>'[1]Ledger Receipts'!E123</f>
        <v>16.46</v>
      </c>
      <c r="D8" s="510"/>
      <c r="I8" s="506"/>
      <c r="L8" s="511"/>
    </row>
    <row r="9" spans="1:14" ht="12.75" customHeight="1" x14ac:dyDescent="0.25">
      <c r="A9" s="508" t="s">
        <v>269</v>
      </c>
      <c r="B9" s="509">
        <f>'[1]Ledger Receipts'!F123</f>
        <v>50029.33</v>
      </c>
      <c r="D9" s="510"/>
    </row>
    <row r="10" spans="1:14" ht="12.75" customHeight="1" x14ac:dyDescent="0.25">
      <c r="A10" s="508" t="s">
        <v>4</v>
      </c>
      <c r="B10" s="509">
        <f>'[1]Ledger Receipts'!G123</f>
        <v>17732.28</v>
      </c>
      <c r="D10" s="510"/>
    </row>
    <row r="11" spans="1:14" ht="12.75" customHeight="1" x14ac:dyDescent="0.25">
      <c r="A11" s="508" t="s">
        <v>31</v>
      </c>
      <c r="B11" s="509">
        <f>'[1]Ledger Receipts'!H123</f>
        <v>325</v>
      </c>
      <c r="D11" s="510"/>
    </row>
    <row r="12" spans="1:14" ht="12.75" customHeight="1" x14ac:dyDescent="0.35">
      <c r="A12" s="512"/>
      <c r="B12" s="509"/>
      <c r="C12" s="503"/>
      <c r="D12" s="510"/>
    </row>
    <row r="13" spans="1:14" ht="12.75" customHeight="1" x14ac:dyDescent="0.3">
      <c r="A13" s="513" t="s">
        <v>381</v>
      </c>
      <c r="B13" s="514">
        <f>+SUM(B7:B11)</f>
        <v>93544.07</v>
      </c>
      <c r="C13" s="514">
        <f>SUM(C7:C11)</f>
        <v>25441</v>
      </c>
      <c r="D13" s="515">
        <f>B13/C13</f>
        <v>3.6769022444086321</v>
      </c>
    </row>
    <row r="14" spans="1:14" ht="12.75" customHeight="1" x14ac:dyDescent="0.4">
      <c r="A14" s="516"/>
      <c r="B14" s="517"/>
      <c r="C14" s="503"/>
      <c r="D14" s="510"/>
      <c r="H14" s="1"/>
      <c r="I14" s="518"/>
      <c r="J14" s="1"/>
      <c r="K14" s="519"/>
      <c r="L14" s="1"/>
      <c r="M14" s="1"/>
      <c r="N14" s="1"/>
    </row>
    <row r="15" spans="1:14" ht="12.75" customHeight="1" x14ac:dyDescent="0.25">
      <c r="A15" s="507" t="s">
        <v>382</v>
      </c>
      <c r="B15" s="517"/>
      <c r="C15" s="503"/>
      <c r="D15" s="510"/>
    </row>
    <row r="16" spans="1:14" ht="12.75" customHeight="1" x14ac:dyDescent="0.25">
      <c r="A16" s="511" t="s">
        <v>383</v>
      </c>
      <c r="B16" s="509">
        <f>'[1]Cash book'!L191</f>
        <v>10971.21</v>
      </c>
      <c r="C16" s="404">
        <v>9230</v>
      </c>
      <c r="D16" s="510">
        <f t="shared" ref="D16:D21" si="0">B16/C16</f>
        <v>1.1886468039003248</v>
      </c>
    </row>
    <row r="17" spans="1:15" ht="12.75" customHeight="1" x14ac:dyDescent="0.25">
      <c r="A17" s="511" t="s">
        <v>29</v>
      </c>
      <c r="B17" s="509">
        <f>'[1]Cash book'!M191</f>
        <v>3651.7200000000003</v>
      </c>
      <c r="C17" s="404">
        <v>4004</v>
      </c>
      <c r="D17" s="510">
        <f t="shared" si="0"/>
        <v>0.91201798201798212</v>
      </c>
    </row>
    <row r="18" spans="1:15" ht="12.75" customHeight="1" x14ac:dyDescent="0.25">
      <c r="A18" s="511" t="s">
        <v>384</v>
      </c>
      <c r="B18" s="509">
        <f>'[1]Cash book'!N191</f>
        <v>4181.54</v>
      </c>
      <c r="C18" s="404">
        <v>4990</v>
      </c>
      <c r="D18" s="510">
        <f t="shared" si="0"/>
        <v>0.83798396793587171</v>
      </c>
    </row>
    <row r="19" spans="1:15" ht="12.75" customHeight="1" x14ac:dyDescent="0.25">
      <c r="A19" s="511" t="s">
        <v>385</v>
      </c>
      <c r="B19" s="509">
        <f>'[1]Cash book'!O191</f>
        <v>1217.3699999999999</v>
      </c>
      <c r="C19" s="404">
        <f>[1]Budget!C48</f>
        <v>1100</v>
      </c>
      <c r="D19" s="510">
        <f t="shared" si="0"/>
        <v>1.1066999999999998</v>
      </c>
    </row>
    <row r="20" spans="1:15" ht="12.75" customHeight="1" x14ac:dyDescent="0.25">
      <c r="A20" s="511" t="s">
        <v>386</v>
      </c>
      <c r="B20" s="509">
        <f>'[1]Cash book'!P191</f>
        <v>588.24</v>
      </c>
      <c r="C20" s="404">
        <v>578</v>
      </c>
      <c r="D20" s="510">
        <f t="shared" si="0"/>
        <v>1.0177162629757786</v>
      </c>
    </row>
    <row r="21" spans="1:15" ht="12.75" customHeight="1" x14ac:dyDescent="0.25">
      <c r="A21" s="511" t="s">
        <v>387</v>
      </c>
      <c r="B21" s="509">
        <f>'[1]Cash book'!Q191</f>
        <v>2200</v>
      </c>
      <c r="C21" s="404">
        <v>2600</v>
      </c>
      <c r="D21" s="510">
        <f t="shared" si="0"/>
        <v>0.84615384615384615</v>
      </c>
    </row>
    <row r="22" spans="1:15" ht="12.75" customHeight="1" x14ac:dyDescent="0.25">
      <c r="A22" s="511" t="s">
        <v>388</v>
      </c>
      <c r="B22" s="509">
        <f>'[1]Cash book'!R191</f>
        <v>3308.62</v>
      </c>
      <c r="C22" s="404">
        <v>2813</v>
      </c>
      <c r="D22" s="510">
        <f>B22/C22</f>
        <v>1.1761891219338785</v>
      </c>
    </row>
    <row r="23" spans="1:15" ht="12.75" customHeight="1" x14ac:dyDescent="0.25">
      <c r="A23" s="511" t="s">
        <v>389</v>
      </c>
      <c r="B23" s="509">
        <f>'[1]Cash book'!S191</f>
        <v>214.71999999999997</v>
      </c>
      <c r="C23" s="404">
        <v>126</v>
      </c>
      <c r="D23" s="510">
        <f>B23/C23</f>
        <v>1.7041269841269839</v>
      </c>
      <c r="G23" s="520"/>
    </row>
    <row r="24" spans="1:15" ht="12.75" customHeight="1" x14ac:dyDescent="0.4">
      <c r="A24" s="1" t="s">
        <v>390</v>
      </c>
      <c r="B24" s="509">
        <f>'[1]Cash book'!U191</f>
        <v>5272.65</v>
      </c>
      <c r="D24" s="510" t="s">
        <v>391</v>
      </c>
      <c r="I24" s="521"/>
    </row>
    <row r="25" spans="1:15" s="1" customFormat="1" ht="12.75" customHeight="1" x14ac:dyDescent="0.25">
      <c r="B25" s="373">
        <f>'[1]Cash book'!T191</f>
        <v>80283.97</v>
      </c>
      <c r="C25" s="373"/>
      <c r="D25" s="522"/>
      <c r="E25" s="373"/>
      <c r="F25" s="373"/>
    </row>
    <row r="26" spans="1:15" ht="12.75" customHeight="1" x14ac:dyDescent="0.25">
      <c r="A26" s="511" t="s">
        <v>392</v>
      </c>
      <c r="B26" s="517">
        <f>'[1]Cash book'!H191</f>
        <v>18900.099999999999</v>
      </c>
      <c r="C26" s="503"/>
      <c r="D26" s="523"/>
    </row>
    <row r="27" spans="1:15" ht="12.75" customHeight="1" x14ac:dyDescent="0.25">
      <c r="A27" s="508"/>
      <c r="B27" s="517"/>
      <c r="C27" s="524"/>
      <c r="D27" s="523"/>
    </row>
    <row r="28" spans="1:15" ht="12.75" customHeight="1" x14ac:dyDescent="0.3">
      <c r="A28" s="513" t="s">
        <v>393</v>
      </c>
      <c r="B28" s="525">
        <f>SUM(B16:B26)</f>
        <v>130790.14000000001</v>
      </c>
      <c r="C28" s="514">
        <f>SUM(C16:C24)</f>
        <v>25441</v>
      </c>
      <c r="D28" s="526">
        <f>B28/C28</f>
        <v>5.1409197751660711</v>
      </c>
    </row>
    <row r="29" spans="1:15" ht="12.75" customHeight="1" x14ac:dyDescent="0.3">
      <c r="A29" s="506"/>
      <c r="B29" s="527"/>
      <c r="C29" s="517"/>
      <c r="D29" s="523"/>
    </row>
    <row r="30" spans="1:15" ht="12.75" customHeight="1" x14ac:dyDescent="0.3">
      <c r="A30" s="528" t="s">
        <v>394</v>
      </c>
      <c r="B30" s="503"/>
      <c r="C30" s="502"/>
      <c r="D30" s="523"/>
      <c r="F30" s="529"/>
      <c r="G30" s="530"/>
      <c r="H30" s="530"/>
      <c r="I30" s="530"/>
      <c r="J30" s="530"/>
    </row>
    <row r="31" spans="1:15" ht="12.75" customHeight="1" x14ac:dyDescent="0.25">
      <c r="A31" s="511"/>
      <c r="B31" s="502"/>
      <c r="C31" s="502"/>
      <c r="D31" s="505"/>
      <c r="F31" s="529"/>
      <c r="G31" s="531"/>
      <c r="H31" s="530"/>
      <c r="I31" s="530"/>
      <c r="J31" s="530"/>
      <c r="L31" s="520"/>
      <c r="O31" s="532"/>
    </row>
    <row r="32" spans="1:15" ht="12.75" customHeight="1" x14ac:dyDescent="0.25">
      <c r="A32" s="511" t="s">
        <v>395</v>
      </c>
      <c r="B32" s="502"/>
      <c r="C32" s="517">
        <f>'[1]Ledger Receipts'!M7</f>
        <v>59782.11</v>
      </c>
      <c r="D32" s="505"/>
      <c r="F32" s="529">
        <f>C32+B9-B25-'[1]Ledger Receipts'!F9</f>
        <v>29527.47</v>
      </c>
      <c r="G32" s="531"/>
      <c r="H32" s="530"/>
      <c r="I32" s="530"/>
      <c r="J32" s="530"/>
      <c r="L32" s="520"/>
      <c r="O32" s="532"/>
    </row>
    <row r="33" spans="1:15" ht="12.75" customHeight="1" x14ac:dyDescent="0.3">
      <c r="A33" s="506" t="s">
        <v>396</v>
      </c>
      <c r="B33" s="502"/>
      <c r="C33" s="517">
        <f>+SUM(B7:B12)</f>
        <v>93544.07</v>
      </c>
      <c r="D33" s="505"/>
      <c r="F33" s="529"/>
      <c r="G33" s="531"/>
      <c r="H33" s="530"/>
      <c r="I33" s="530"/>
      <c r="J33" s="530"/>
      <c r="L33" s="520"/>
      <c r="O33" s="532"/>
    </row>
    <row r="34" spans="1:15" ht="12.75" customHeight="1" x14ac:dyDescent="0.3">
      <c r="A34" s="506" t="s">
        <v>397</v>
      </c>
      <c r="B34" s="502"/>
      <c r="C34" s="517">
        <f>B28</f>
        <v>130790.14000000001</v>
      </c>
      <c r="D34" s="505"/>
      <c r="F34" s="529"/>
      <c r="G34" s="531"/>
      <c r="H34" s="530"/>
      <c r="I34" s="530"/>
      <c r="J34" s="530"/>
      <c r="L34" s="520"/>
      <c r="O34" s="532"/>
    </row>
    <row r="35" spans="1:15" ht="12.75" customHeight="1" x14ac:dyDescent="0.3">
      <c r="A35" s="506"/>
      <c r="B35" s="502"/>
      <c r="C35" s="533"/>
      <c r="D35" s="505"/>
      <c r="F35" s="529"/>
      <c r="G35" s="531"/>
      <c r="H35" s="530"/>
      <c r="I35" s="530"/>
      <c r="J35" s="530"/>
      <c r="O35" s="532"/>
    </row>
    <row r="36" spans="1:15" ht="12.75" customHeight="1" thickBot="1" x14ac:dyDescent="0.35">
      <c r="A36" s="506" t="s">
        <v>398</v>
      </c>
      <c r="B36" s="502"/>
      <c r="C36" s="534">
        <f>+C32+C33-C34</f>
        <v>22536.039999999979</v>
      </c>
      <c r="D36" s="505"/>
      <c r="F36" s="529"/>
      <c r="G36" s="531"/>
      <c r="H36" s="530"/>
      <c r="I36" s="530"/>
      <c r="J36" s="530"/>
    </row>
    <row r="37" spans="1:15" ht="12.75" customHeight="1" x14ac:dyDescent="0.3">
      <c r="A37" s="535"/>
      <c r="B37" s="536"/>
      <c r="C37" s="537"/>
      <c r="D37" s="505"/>
      <c r="F37" s="529"/>
      <c r="G37" s="531">
        <f>B8</f>
        <v>16.46</v>
      </c>
      <c r="H37" s="530"/>
      <c r="I37" s="530"/>
      <c r="J37" s="530"/>
    </row>
    <row r="38" spans="1:15" ht="12.75" customHeight="1" x14ac:dyDescent="0.25">
      <c r="A38" s="538" t="s">
        <v>399</v>
      </c>
      <c r="B38" s="505"/>
      <c r="C38" s="505"/>
      <c r="D38" s="539"/>
      <c r="E38" s="540"/>
      <c r="F38" s="529"/>
      <c r="G38" s="531">
        <f>G36+G37</f>
        <v>16.46</v>
      </c>
      <c r="H38" s="530"/>
      <c r="I38" s="530"/>
      <c r="J38" s="530"/>
    </row>
    <row r="39" spans="1:15" ht="12.75" customHeight="1" x14ac:dyDescent="0.25">
      <c r="A39" s="541"/>
      <c r="B39" s="505"/>
      <c r="C39" s="505"/>
      <c r="D39" s="505"/>
      <c r="E39" s="542"/>
    </row>
    <row r="40" spans="1:15" ht="12.75" customHeight="1" x14ac:dyDescent="0.25">
      <c r="A40" s="541" t="s">
        <v>400</v>
      </c>
      <c r="B40" s="505"/>
      <c r="C40" s="505"/>
      <c r="D40" s="543">
        <f>'[1]Ledger Receipts'!I110</f>
        <v>2536.04</v>
      </c>
      <c r="E40" s="544"/>
    </row>
    <row r="41" spans="1:15" ht="12.75" customHeight="1" x14ac:dyDescent="0.25">
      <c r="A41" s="541" t="s">
        <v>401</v>
      </c>
      <c r="B41" s="505"/>
      <c r="C41" s="505"/>
      <c r="D41" s="543">
        <f>'[1]Ledger Receipts'!I114</f>
        <v>0</v>
      </c>
      <c r="E41" s="544"/>
    </row>
    <row r="42" spans="1:15" ht="12.75" customHeight="1" x14ac:dyDescent="0.25">
      <c r="A42" s="541" t="s">
        <v>402</v>
      </c>
      <c r="B42" s="505"/>
      <c r="C42" s="505"/>
      <c r="D42" s="543">
        <f>'[1]Ledger Receipts'!I111</f>
        <v>20000</v>
      </c>
      <c r="E42" s="544"/>
    </row>
    <row r="43" spans="1:15" ht="12.75" customHeight="1" x14ac:dyDescent="0.25">
      <c r="A43" s="541"/>
      <c r="B43" s="505"/>
      <c r="C43" s="505"/>
      <c r="D43" s="543">
        <f>'[1]Ledger Receipts'!I112</f>
        <v>0</v>
      </c>
      <c r="E43" s="544"/>
    </row>
    <row r="44" spans="1:15" ht="12.75" customHeight="1" x14ac:dyDescent="0.25">
      <c r="A44" s="541"/>
      <c r="D44" s="404">
        <f>'[1]Ledger Receipts'!I113</f>
        <v>0</v>
      </c>
      <c r="E44" s="544"/>
    </row>
    <row r="45" spans="1:15" ht="12.75" customHeight="1" x14ac:dyDescent="0.25">
      <c r="A45" s="511"/>
      <c r="B45" s="505"/>
      <c r="C45" s="505"/>
      <c r="D45" s="545"/>
      <c r="E45" s="544"/>
    </row>
    <row r="46" spans="1:15" ht="12.75" customHeight="1" x14ac:dyDescent="0.3">
      <c r="A46" s="535"/>
      <c r="B46" s="537"/>
      <c r="C46" s="537"/>
      <c r="D46" s="546"/>
      <c r="E46" s="547">
        <f>SUM(D40:D44)</f>
        <v>22536.04</v>
      </c>
    </row>
    <row r="47" spans="1:15" ht="12.75" customHeight="1" x14ac:dyDescent="0.25">
      <c r="A47" s="511" t="s">
        <v>403</v>
      </c>
      <c r="B47" s="505"/>
      <c r="C47" s="505"/>
      <c r="D47" s="505"/>
      <c r="E47" s="505"/>
    </row>
    <row r="48" spans="1:15" ht="12.75" customHeight="1" x14ac:dyDescent="0.25">
      <c r="A48" s="511" t="s">
        <v>404</v>
      </c>
      <c r="B48" s="505"/>
      <c r="C48" s="505"/>
      <c r="D48" s="505"/>
      <c r="E48" s="505"/>
    </row>
    <row r="49" spans="1:4" ht="12.75" customHeight="1" x14ac:dyDescent="0.25">
      <c r="A49" s="511"/>
      <c r="B49" s="505"/>
      <c r="C49" s="505"/>
      <c r="D49" s="505"/>
    </row>
    <row r="50" spans="1:4" ht="12.75" customHeight="1" x14ac:dyDescent="0.3">
      <c r="A50" s="548"/>
      <c r="B50" s="549"/>
      <c r="C50" s="549"/>
      <c r="D50" s="505"/>
    </row>
    <row r="51" spans="1:4" ht="12.75" customHeight="1" x14ac:dyDescent="0.25">
      <c r="A51" s="511"/>
      <c r="B51" s="505"/>
      <c r="C51" s="505"/>
      <c r="D51" s="505"/>
    </row>
    <row r="52" spans="1:4" x14ac:dyDescent="0.25">
      <c r="A52" s="511"/>
      <c r="B52" s="505"/>
      <c r="C52" s="505"/>
      <c r="D52" s="505"/>
    </row>
    <row r="53" spans="1:4" x14ac:dyDescent="0.25">
      <c r="A53" s="1"/>
      <c r="B53" s="373"/>
      <c r="C53" s="373"/>
      <c r="D53" s="373"/>
    </row>
  </sheetData>
  <mergeCells count="1">
    <mergeCell ref="A3:D3"/>
  </mergeCells>
  <printOptions horizontalCentered="1"/>
  <pageMargins left="0.15748031496062992" right="0.15748031496062992" top="0.59055118110236227" bottom="0.59055118110236227" header="0.31496062992125984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31EFF-B7C4-416B-852A-1652ADE463AE}">
  <dimension ref="A1:M25"/>
  <sheetViews>
    <sheetView topLeftCell="A2" workbookViewId="0">
      <selection activeCell="G15" sqref="G15"/>
    </sheetView>
  </sheetViews>
  <sheetFormatPr defaultRowHeight="14.5" x14ac:dyDescent="0.35"/>
  <cols>
    <col min="1" max="2" width="8.7265625" style="491"/>
    <col min="3" max="3" width="34.26953125" style="491" customWidth="1"/>
    <col min="4" max="5" width="11.08984375" style="491" bestFit="1" customWidth="1"/>
    <col min="6" max="6" width="11.1796875" style="491" bestFit="1" customWidth="1"/>
    <col min="7" max="7" width="8.7265625" style="491"/>
    <col min="8" max="8" width="1.08984375" style="491" customWidth="1"/>
    <col min="9" max="16384" width="8.7265625" style="491"/>
  </cols>
  <sheetData>
    <row r="1" spans="1:13" ht="15.75" customHeight="1" x14ac:dyDescent="0.45">
      <c r="A1" s="489" t="s">
        <v>366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ht="15.75" customHeight="1" x14ac:dyDescent="0.35">
      <c r="A2" s="490" t="s">
        <v>367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</row>
    <row r="3" spans="1:13" x14ac:dyDescent="0.35">
      <c r="A3" s="490" t="s">
        <v>368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</row>
    <row r="4" spans="1:13" x14ac:dyDescent="0.35">
      <c r="A4" s="490"/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</row>
    <row r="5" spans="1:13" x14ac:dyDescent="0.35">
      <c r="A5" s="490"/>
      <c r="B5" s="490"/>
      <c r="C5" s="490"/>
      <c r="D5" s="492" t="s">
        <v>326</v>
      </c>
      <c r="E5" s="492" t="s">
        <v>326</v>
      </c>
      <c r="F5" s="492" t="s">
        <v>326</v>
      </c>
      <c r="G5" s="490"/>
      <c r="H5" s="490"/>
      <c r="I5" s="490"/>
      <c r="J5" s="490"/>
      <c r="K5" s="490"/>
      <c r="L5" s="490"/>
      <c r="M5" s="490"/>
    </row>
    <row r="6" spans="1:13" x14ac:dyDescent="0.35">
      <c r="A6" s="492" t="s">
        <v>369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</row>
    <row r="7" spans="1:13" x14ac:dyDescent="0.35">
      <c r="A7" s="490"/>
      <c r="B7" s="493"/>
      <c r="C7" s="490"/>
      <c r="D7" s="494"/>
      <c r="E7" s="490"/>
      <c r="F7" s="490"/>
      <c r="G7" s="490"/>
      <c r="H7" s="490"/>
      <c r="I7" s="490"/>
      <c r="J7" s="490"/>
      <c r="K7" s="490"/>
      <c r="L7" s="490"/>
      <c r="M7" s="490"/>
    </row>
    <row r="8" spans="1:13" ht="15" customHeight="1" x14ac:dyDescent="0.35">
      <c r="A8" s="490"/>
      <c r="B8" s="493"/>
      <c r="C8" s="490"/>
      <c r="D8" s="494"/>
      <c r="E8" s="490"/>
      <c r="F8" s="490"/>
      <c r="G8" s="490"/>
      <c r="H8" s="490"/>
      <c r="I8" s="490"/>
      <c r="J8" s="490"/>
      <c r="K8" s="490"/>
      <c r="L8" s="490"/>
      <c r="M8" s="490"/>
    </row>
    <row r="9" spans="1:13" ht="15" customHeight="1" x14ac:dyDescent="0.35">
      <c r="A9" s="490"/>
      <c r="B9" s="493" t="s">
        <v>370</v>
      </c>
      <c r="C9" s="490"/>
      <c r="D9" s="494">
        <v>4750</v>
      </c>
      <c r="E9" s="490"/>
      <c r="F9" s="490"/>
      <c r="G9" s="490"/>
      <c r="H9" s="490"/>
      <c r="I9" s="490"/>
      <c r="J9" s="490"/>
      <c r="K9" s="490"/>
      <c r="L9" s="490"/>
      <c r="M9" s="490"/>
    </row>
    <row r="10" spans="1:13" ht="15" customHeight="1" x14ac:dyDescent="0.35">
      <c r="A10" s="490"/>
      <c r="B10" s="493" t="s">
        <v>371</v>
      </c>
      <c r="C10" s="490"/>
      <c r="D10" s="494">
        <v>2310</v>
      </c>
      <c r="E10" s="490"/>
      <c r="F10" s="490"/>
      <c r="G10" s="490"/>
      <c r="H10" s="490"/>
      <c r="I10" s="490"/>
      <c r="J10" s="490"/>
      <c r="K10" s="490"/>
      <c r="L10" s="490"/>
      <c r="M10" s="490"/>
    </row>
    <row r="11" spans="1:13" x14ac:dyDescent="0.35">
      <c r="A11" s="490"/>
      <c r="B11" s="490"/>
      <c r="C11" s="490"/>
      <c r="D11" s="494"/>
      <c r="E11" s="495">
        <f>SUM(D7:D10)</f>
        <v>7060</v>
      </c>
      <c r="F11" s="496"/>
      <c r="G11" s="496"/>
      <c r="H11" s="490"/>
      <c r="I11" s="490"/>
      <c r="J11" s="490"/>
      <c r="K11" s="490"/>
      <c r="L11" s="490"/>
      <c r="M11" s="490"/>
    </row>
    <row r="12" spans="1:13" x14ac:dyDescent="0.35">
      <c r="A12" s="490"/>
      <c r="B12" s="490"/>
      <c r="C12" s="490"/>
      <c r="D12" s="494"/>
      <c r="E12" s="496"/>
      <c r="F12" s="496"/>
      <c r="G12" s="496"/>
      <c r="H12" s="490"/>
      <c r="I12" s="490"/>
      <c r="J12" s="490"/>
      <c r="K12" s="490"/>
      <c r="L12" s="490"/>
      <c r="M12" s="490"/>
    </row>
    <row r="13" spans="1:13" x14ac:dyDescent="0.35">
      <c r="A13" s="492" t="s">
        <v>372</v>
      </c>
      <c r="B13" s="490"/>
      <c r="C13" s="490"/>
      <c r="D13" s="496"/>
      <c r="E13" s="496">
        <f>'[1]Ledger Receipts'!I115-Reserves!E11</f>
        <v>15476.04</v>
      </c>
      <c r="F13" s="496"/>
      <c r="G13" s="496"/>
      <c r="H13" s="490"/>
      <c r="I13" s="490"/>
      <c r="J13" s="490"/>
      <c r="K13" s="490"/>
      <c r="L13" s="490"/>
      <c r="M13" s="490"/>
    </row>
    <row r="14" spans="1:13" x14ac:dyDescent="0.35">
      <c r="A14" s="490"/>
      <c r="B14" s="490"/>
      <c r="C14" s="490"/>
      <c r="D14" s="496"/>
      <c r="E14" s="495"/>
      <c r="F14" s="496"/>
      <c r="G14" s="496"/>
      <c r="H14" s="490"/>
      <c r="I14" s="490"/>
      <c r="J14" s="490"/>
      <c r="K14" s="490"/>
      <c r="L14" s="490"/>
      <c r="M14" s="490"/>
    </row>
    <row r="15" spans="1:13" ht="15" thickBot="1" x14ac:dyDescent="0.4">
      <c r="A15" s="492" t="s">
        <v>373</v>
      </c>
      <c r="B15" s="490"/>
      <c r="C15" s="490"/>
      <c r="D15" s="490"/>
      <c r="E15" s="496"/>
      <c r="F15" s="497">
        <f>SUM(E11:E13)</f>
        <v>22536.04</v>
      </c>
      <c r="G15" s="496"/>
      <c r="H15" s="490"/>
      <c r="I15" s="490"/>
      <c r="J15" s="490"/>
      <c r="K15" s="490"/>
      <c r="L15" s="490"/>
      <c r="M15" s="490"/>
    </row>
    <row r="16" spans="1:13" ht="15" thickTop="1" x14ac:dyDescent="0.35">
      <c r="A16" s="490"/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</row>
    <row r="17" spans="1:13" x14ac:dyDescent="0.35">
      <c r="A17" s="490"/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</row>
    <row r="18" spans="1:13" x14ac:dyDescent="0.35">
      <c r="A18" s="490"/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</row>
    <row r="19" spans="1:13" x14ac:dyDescent="0.35">
      <c r="A19" s="490"/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</row>
    <row r="20" spans="1:13" x14ac:dyDescent="0.35">
      <c r="A20" s="490"/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</row>
    <row r="21" spans="1:13" x14ac:dyDescent="0.35">
      <c r="A21" s="490"/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</row>
    <row r="22" spans="1:13" x14ac:dyDescent="0.35">
      <c r="A22" s="490"/>
      <c r="B22" s="490"/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</row>
    <row r="23" spans="1:13" x14ac:dyDescent="0.35">
      <c r="A23" s="490"/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</row>
    <row r="24" spans="1:13" x14ac:dyDescent="0.35">
      <c r="A24" s="490"/>
      <c r="B24" s="490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</row>
    <row r="25" spans="1:13" x14ac:dyDescent="0.35">
      <c r="A25" s="490"/>
      <c r="B25" s="490"/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7AB39-4D06-48B3-B7B4-ADEAB27A9D74}">
  <sheetPr>
    <tabColor rgb="FFFF0000"/>
    <pageSetUpPr fitToPage="1"/>
  </sheetPr>
  <dimension ref="A1:V38"/>
  <sheetViews>
    <sheetView topLeftCell="A12" workbookViewId="0">
      <selection activeCell="F15" sqref="F15"/>
    </sheetView>
  </sheetViews>
  <sheetFormatPr defaultColWidth="9.1796875" defaultRowHeight="14" x14ac:dyDescent="0.3"/>
  <cols>
    <col min="1" max="1" width="10.81640625" style="456" customWidth="1"/>
    <col min="2" max="2" width="9.1796875" style="456"/>
    <col min="3" max="3" width="32.54296875" style="456" customWidth="1"/>
    <col min="4" max="4" width="9.1796875" style="456"/>
    <col min="5" max="5" width="3.26953125" style="456" customWidth="1"/>
    <col min="6" max="6" width="9.1796875" style="456"/>
    <col min="7" max="7" width="10.1796875" style="456" customWidth="1"/>
    <col min="8" max="8" width="9.54296875" style="456" customWidth="1"/>
    <col min="9" max="11" width="9.1796875" style="456" hidden="1" customWidth="1"/>
    <col min="12" max="12" width="13.26953125" style="456" customWidth="1"/>
    <col min="13" max="13" width="50.453125" style="455" bestFit="1" customWidth="1"/>
    <col min="14" max="14" width="86" style="456" bestFit="1" customWidth="1"/>
    <col min="15" max="256" width="9.1796875" style="456"/>
    <col min="257" max="257" width="10.81640625" style="456" customWidth="1"/>
    <col min="258" max="258" width="9.1796875" style="456"/>
    <col min="259" max="259" width="32.54296875" style="456" customWidth="1"/>
    <col min="260" max="260" width="9.1796875" style="456"/>
    <col min="261" max="261" width="3.26953125" style="456" customWidth="1"/>
    <col min="262" max="262" width="9.1796875" style="456"/>
    <col min="263" max="263" width="10.1796875" style="456" customWidth="1"/>
    <col min="264" max="264" width="9.54296875" style="456" customWidth="1"/>
    <col min="265" max="267" width="0" style="456" hidden="1" customWidth="1"/>
    <col min="268" max="268" width="13.26953125" style="456" customWidth="1"/>
    <col min="269" max="269" width="50.453125" style="456" bestFit="1" customWidth="1"/>
    <col min="270" max="270" width="86" style="456" bestFit="1" customWidth="1"/>
    <col min="271" max="512" width="9.1796875" style="456"/>
    <col min="513" max="513" width="10.81640625" style="456" customWidth="1"/>
    <col min="514" max="514" width="9.1796875" style="456"/>
    <col min="515" max="515" width="32.54296875" style="456" customWidth="1"/>
    <col min="516" max="516" width="9.1796875" style="456"/>
    <col min="517" max="517" width="3.26953125" style="456" customWidth="1"/>
    <col min="518" max="518" width="9.1796875" style="456"/>
    <col min="519" max="519" width="10.1796875" style="456" customWidth="1"/>
    <col min="520" max="520" width="9.54296875" style="456" customWidth="1"/>
    <col min="521" max="523" width="0" style="456" hidden="1" customWidth="1"/>
    <col min="524" max="524" width="13.26953125" style="456" customWidth="1"/>
    <col min="525" max="525" width="50.453125" style="456" bestFit="1" customWidth="1"/>
    <col min="526" max="526" width="86" style="456" bestFit="1" customWidth="1"/>
    <col min="527" max="768" width="9.1796875" style="456"/>
    <col min="769" max="769" width="10.81640625" style="456" customWidth="1"/>
    <col min="770" max="770" width="9.1796875" style="456"/>
    <col min="771" max="771" width="32.54296875" style="456" customWidth="1"/>
    <col min="772" max="772" width="9.1796875" style="456"/>
    <col min="773" max="773" width="3.26953125" style="456" customWidth="1"/>
    <col min="774" max="774" width="9.1796875" style="456"/>
    <col min="775" max="775" width="10.1796875" style="456" customWidth="1"/>
    <col min="776" max="776" width="9.54296875" style="456" customWidth="1"/>
    <col min="777" max="779" width="0" style="456" hidden="1" customWidth="1"/>
    <col min="780" max="780" width="13.26953125" style="456" customWidth="1"/>
    <col min="781" max="781" width="50.453125" style="456" bestFit="1" customWidth="1"/>
    <col min="782" max="782" width="86" style="456" bestFit="1" customWidth="1"/>
    <col min="783" max="1024" width="9.1796875" style="456"/>
    <col min="1025" max="1025" width="10.81640625" style="456" customWidth="1"/>
    <col min="1026" max="1026" width="9.1796875" style="456"/>
    <col min="1027" max="1027" width="32.54296875" style="456" customWidth="1"/>
    <col min="1028" max="1028" width="9.1796875" style="456"/>
    <col min="1029" max="1029" width="3.26953125" style="456" customWidth="1"/>
    <col min="1030" max="1030" width="9.1796875" style="456"/>
    <col min="1031" max="1031" width="10.1796875" style="456" customWidth="1"/>
    <col min="1032" max="1032" width="9.54296875" style="456" customWidth="1"/>
    <col min="1033" max="1035" width="0" style="456" hidden="1" customWidth="1"/>
    <col min="1036" max="1036" width="13.26953125" style="456" customWidth="1"/>
    <col min="1037" max="1037" width="50.453125" style="456" bestFit="1" customWidth="1"/>
    <col min="1038" max="1038" width="86" style="456" bestFit="1" customWidth="1"/>
    <col min="1039" max="1280" width="9.1796875" style="456"/>
    <col min="1281" max="1281" width="10.81640625" style="456" customWidth="1"/>
    <col min="1282" max="1282" width="9.1796875" style="456"/>
    <col min="1283" max="1283" width="32.54296875" style="456" customWidth="1"/>
    <col min="1284" max="1284" width="9.1796875" style="456"/>
    <col min="1285" max="1285" width="3.26953125" style="456" customWidth="1"/>
    <col min="1286" max="1286" width="9.1796875" style="456"/>
    <col min="1287" max="1287" width="10.1796875" style="456" customWidth="1"/>
    <col min="1288" max="1288" width="9.54296875" style="456" customWidth="1"/>
    <col min="1289" max="1291" width="0" style="456" hidden="1" customWidth="1"/>
    <col min="1292" max="1292" width="13.26953125" style="456" customWidth="1"/>
    <col min="1293" max="1293" width="50.453125" style="456" bestFit="1" customWidth="1"/>
    <col min="1294" max="1294" width="86" style="456" bestFit="1" customWidth="1"/>
    <col min="1295" max="1536" width="9.1796875" style="456"/>
    <col min="1537" max="1537" width="10.81640625" style="456" customWidth="1"/>
    <col min="1538" max="1538" width="9.1796875" style="456"/>
    <col min="1539" max="1539" width="32.54296875" style="456" customWidth="1"/>
    <col min="1540" max="1540" width="9.1796875" style="456"/>
    <col min="1541" max="1541" width="3.26953125" style="456" customWidth="1"/>
    <col min="1542" max="1542" width="9.1796875" style="456"/>
    <col min="1543" max="1543" width="10.1796875" style="456" customWidth="1"/>
    <col min="1544" max="1544" width="9.54296875" style="456" customWidth="1"/>
    <col min="1545" max="1547" width="0" style="456" hidden="1" customWidth="1"/>
    <col min="1548" max="1548" width="13.26953125" style="456" customWidth="1"/>
    <col min="1549" max="1549" width="50.453125" style="456" bestFit="1" customWidth="1"/>
    <col min="1550" max="1550" width="86" style="456" bestFit="1" customWidth="1"/>
    <col min="1551" max="1792" width="9.1796875" style="456"/>
    <col min="1793" max="1793" width="10.81640625" style="456" customWidth="1"/>
    <col min="1794" max="1794" width="9.1796875" style="456"/>
    <col min="1795" max="1795" width="32.54296875" style="456" customWidth="1"/>
    <col min="1796" max="1796" width="9.1796875" style="456"/>
    <col min="1797" max="1797" width="3.26953125" style="456" customWidth="1"/>
    <col min="1798" max="1798" width="9.1796875" style="456"/>
    <col min="1799" max="1799" width="10.1796875" style="456" customWidth="1"/>
    <col min="1800" max="1800" width="9.54296875" style="456" customWidth="1"/>
    <col min="1801" max="1803" width="0" style="456" hidden="1" customWidth="1"/>
    <col min="1804" max="1804" width="13.26953125" style="456" customWidth="1"/>
    <col min="1805" max="1805" width="50.453125" style="456" bestFit="1" customWidth="1"/>
    <col min="1806" max="1806" width="86" style="456" bestFit="1" customWidth="1"/>
    <col min="1807" max="2048" width="9.1796875" style="456"/>
    <col min="2049" max="2049" width="10.81640625" style="456" customWidth="1"/>
    <col min="2050" max="2050" width="9.1796875" style="456"/>
    <col min="2051" max="2051" width="32.54296875" style="456" customWidth="1"/>
    <col min="2052" max="2052" width="9.1796875" style="456"/>
    <col min="2053" max="2053" width="3.26953125" style="456" customWidth="1"/>
    <col min="2054" max="2054" width="9.1796875" style="456"/>
    <col min="2055" max="2055" width="10.1796875" style="456" customWidth="1"/>
    <col min="2056" max="2056" width="9.54296875" style="456" customWidth="1"/>
    <col min="2057" max="2059" width="0" style="456" hidden="1" customWidth="1"/>
    <col min="2060" max="2060" width="13.26953125" style="456" customWidth="1"/>
    <col min="2061" max="2061" width="50.453125" style="456" bestFit="1" customWidth="1"/>
    <col min="2062" max="2062" width="86" style="456" bestFit="1" customWidth="1"/>
    <col min="2063" max="2304" width="9.1796875" style="456"/>
    <col min="2305" max="2305" width="10.81640625" style="456" customWidth="1"/>
    <col min="2306" max="2306" width="9.1796875" style="456"/>
    <col min="2307" max="2307" width="32.54296875" style="456" customWidth="1"/>
    <col min="2308" max="2308" width="9.1796875" style="456"/>
    <col min="2309" max="2309" width="3.26953125" style="456" customWidth="1"/>
    <col min="2310" max="2310" width="9.1796875" style="456"/>
    <col min="2311" max="2311" width="10.1796875" style="456" customWidth="1"/>
    <col min="2312" max="2312" width="9.54296875" style="456" customWidth="1"/>
    <col min="2313" max="2315" width="0" style="456" hidden="1" customWidth="1"/>
    <col min="2316" max="2316" width="13.26953125" style="456" customWidth="1"/>
    <col min="2317" max="2317" width="50.453125" style="456" bestFit="1" customWidth="1"/>
    <col min="2318" max="2318" width="86" style="456" bestFit="1" customWidth="1"/>
    <col min="2319" max="2560" width="9.1796875" style="456"/>
    <col min="2561" max="2561" width="10.81640625" style="456" customWidth="1"/>
    <col min="2562" max="2562" width="9.1796875" style="456"/>
    <col min="2563" max="2563" width="32.54296875" style="456" customWidth="1"/>
    <col min="2564" max="2564" width="9.1796875" style="456"/>
    <col min="2565" max="2565" width="3.26953125" style="456" customWidth="1"/>
    <col min="2566" max="2566" width="9.1796875" style="456"/>
    <col min="2567" max="2567" width="10.1796875" style="456" customWidth="1"/>
    <col min="2568" max="2568" width="9.54296875" style="456" customWidth="1"/>
    <col min="2569" max="2571" width="0" style="456" hidden="1" customWidth="1"/>
    <col min="2572" max="2572" width="13.26953125" style="456" customWidth="1"/>
    <col min="2573" max="2573" width="50.453125" style="456" bestFit="1" customWidth="1"/>
    <col min="2574" max="2574" width="86" style="456" bestFit="1" customWidth="1"/>
    <col min="2575" max="2816" width="9.1796875" style="456"/>
    <col min="2817" max="2817" width="10.81640625" style="456" customWidth="1"/>
    <col min="2818" max="2818" width="9.1796875" style="456"/>
    <col min="2819" max="2819" width="32.54296875" style="456" customWidth="1"/>
    <col min="2820" max="2820" width="9.1796875" style="456"/>
    <col min="2821" max="2821" width="3.26953125" style="456" customWidth="1"/>
    <col min="2822" max="2822" width="9.1796875" style="456"/>
    <col min="2823" max="2823" width="10.1796875" style="456" customWidth="1"/>
    <col min="2824" max="2824" width="9.54296875" style="456" customWidth="1"/>
    <col min="2825" max="2827" width="0" style="456" hidden="1" customWidth="1"/>
    <col min="2828" max="2828" width="13.26953125" style="456" customWidth="1"/>
    <col min="2829" max="2829" width="50.453125" style="456" bestFit="1" customWidth="1"/>
    <col min="2830" max="2830" width="86" style="456" bestFit="1" customWidth="1"/>
    <col min="2831" max="3072" width="9.1796875" style="456"/>
    <col min="3073" max="3073" width="10.81640625" style="456" customWidth="1"/>
    <col min="3074" max="3074" width="9.1796875" style="456"/>
    <col min="3075" max="3075" width="32.54296875" style="456" customWidth="1"/>
    <col min="3076" max="3076" width="9.1796875" style="456"/>
    <col min="3077" max="3077" width="3.26953125" style="456" customWidth="1"/>
    <col min="3078" max="3078" width="9.1796875" style="456"/>
    <col min="3079" max="3079" width="10.1796875" style="456" customWidth="1"/>
    <col min="3080" max="3080" width="9.54296875" style="456" customWidth="1"/>
    <col min="3081" max="3083" width="0" style="456" hidden="1" customWidth="1"/>
    <col min="3084" max="3084" width="13.26953125" style="456" customWidth="1"/>
    <col min="3085" max="3085" width="50.453125" style="456" bestFit="1" customWidth="1"/>
    <col min="3086" max="3086" width="86" style="456" bestFit="1" customWidth="1"/>
    <col min="3087" max="3328" width="9.1796875" style="456"/>
    <col min="3329" max="3329" width="10.81640625" style="456" customWidth="1"/>
    <col min="3330" max="3330" width="9.1796875" style="456"/>
    <col min="3331" max="3331" width="32.54296875" style="456" customWidth="1"/>
    <col min="3332" max="3332" width="9.1796875" style="456"/>
    <col min="3333" max="3333" width="3.26953125" style="456" customWidth="1"/>
    <col min="3334" max="3334" width="9.1796875" style="456"/>
    <col min="3335" max="3335" width="10.1796875" style="456" customWidth="1"/>
    <col min="3336" max="3336" width="9.54296875" style="456" customWidth="1"/>
    <col min="3337" max="3339" width="0" style="456" hidden="1" customWidth="1"/>
    <col min="3340" max="3340" width="13.26953125" style="456" customWidth="1"/>
    <col min="3341" max="3341" width="50.453125" style="456" bestFit="1" customWidth="1"/>
    <col min="3342" max="3342" width="86" style="456" bestFit="1" customWidth="1"/>
    <col min="3343" max="3584" width="9.1796875" style="456"/>
    <col min="3585" max="3585" width="10.81640625" style="456" customWidth="1"/>
    <col min="3586" max="3586" width="9.1796875" style="456"/>
    <col min="3587" max="3587" width="32.54296875" style="456" customWidth="1"/>
    <col min="3588" max="3588" width="9.1796875" style="456"/>
    <col min="3589" max="3589" width="3.26953125" style="456" customWidth="1"/>
    <col min="3590" max="3590" width="9.1796875" style="456"/>
    <col min="3591" max="3591" width="10.1796875" style="456" customWidth="1"/>
    <col min="3592" max="3592" width="9.54296875" style="456" customWidth="1"/>
    <col min="3593" max="3595" width="0" style="456" hidden="1" customWidth="1"/>
    <col min="3596" max="3596" width="13.26953125" style="456" customWidth="1"/>
    <col min="3597" max="3597" width="50.453125" style="456" bestFit="1" customWidth="1"/>
    <col min="3598" max="3598" width="86" style="456" bestFit="1" customWidth="1"/>
    <col min="3599" max="3840" width="9.1796875" style="456"/>
    <col min="3841" max="3841" width="10.81640625" style="456" customWidth="1"/>
    <col min="3842" max="3842" width="9.1796875" style="456"/>
    <col min="3843" max="3843" width="32.54296875" style="456" customWidth="1"/>
    <col min="3844" max="3844" width="9.1796875" style="456"/>
    <col min="3845" max="3845" width="3.26953125" style="456" customWidth="1"/>
    <col min="3846" max="3846" width="9.1796875" style="456"/>
    <col min="3847" max="3847" width="10.1796875" style="456" customWidth="1"/>
    <col min="3848" max="3848" width="9.54296875" style="456" customWidth="1"/>
    <col min="3849" max="3851" width="0" style="456" hidden="1" customWidth="1"/>
    <col min="3852" max="3852" width="13.26953125" style="456" customWidth="1"/>
    <col min="3853" max="3853" width="50.453125" style="456" bestFit="1" customWidth="1"/>
    <col min="3854" max="3854" width="86" style="456" bestFit="1" customWidth="1"/>
    <col min="3855" max="4096" width="9.1796875" style="456"/>
    <col min="4097" max="4097" width="10.81640625" style="456" customWidth="1"/>
    <col min="4098" max="4098" width="9.1796875" style="456"/>
    <col min="4099" max="4099" width="32.54296875" style="456" customWidth="1"/>
    <col min="4100" max="4100" width="9.1796875" style="456"/>
    <col min="4101" max="4101" width="3.26953125" style="456" customWidth="1"/>
    <col min="4102" max="4102" width="9.1796875" style="456"/>
    <col min="4103" max="4103" width="10.1796875" style="456" customWidth="1"/>
    <col min="4104" max="4104" width="9.54296875" style="456" customWidth="1"/>
    <col min="4105" max="4107" width="0" style="456" hidden="1" customWidth="1"/>
    <col min="4108" max="4108" width="13.26953125" style="456" customWidth="1"/>
    <col min="4109" max="4109" width="50.453125" style="456" bestFit="1" customWidth="1"/>
    <col min="4110" max="4110" width="86" style="456" bestFit="1" customWidth="1"/>
    <col min="4111" max="4352" width="9.1796875" style="456"/>
    <col min="4353" max="4353" width="10.81640625" style="456" customWidth="1"/>
    <col min="4354" max="4354" width="9.1796875" style="456"/>
    <col min="4355" max="4355" width="32.54296875" style="456" customWidth="1"/>
    <col min="4356" max="4356" width="9.1796875" style="456"/>
    <col min="4357" max="4357" width="3.26953125" style="456" customWidth="1"/>
    <col min="4358" max="4358" width="9.1796875" style="456"/>
    <col min="4359" max="4359" width="10.1796875" style="456" customWidth="1"/>
    <col min="4360" max="4360" width="9.54296875" style="456" customWidth="1"/>
    <col min="4361" max="4363" width="0" style="456" hidden="1" customWidth="1"/>
    <col min="4364" max="4364" width="13.26953125" style="456" customWidth="1"/>
    <col min="4365" max="4365" width="50.453125" style="456" bestFit="1" customWidth="1"/>
    <col min="4366" max="4366" width="86" style="456" bestFit="1" customWidth="1"/>
    <col min="4367" max="4608" width="9.1796875" style="456"/>
    <col min="4609" max="4609" width="10.81640625" style="456" customWidth="1"/>
    <col min="4610" max="4610" width="9.1796875" style="456"/>
    <col min="4611" max="4611" width="32.54296875" style="456" customWidth="1"/>
    <col min="4612" max="4612" width="9.1796875" style="456"/>
    <col min="4613" max="4613" width="3.26953125" style="456" customWidth="1"/>
    <col min="4614" max="4614" width="9.1796875" style="456"/>
    <col min="4615" max="4615" width="10.1796875" style="456" customWidth="1"/>
    <col min="4616" max="4616" width="9.54296875" style="456" customWidth="1"/>
    <col min="4617" max="4619" width="0" style="456" hidden="1" customWidth="1"/>
    <col min="4620" max="4620" width="13.26953125" style="456" customWidth="1"/>
    <col min="4621" max="4621" width="50.453125" style="456" bestFit="1" customWidth="1"/>
    <col min="4622" max="4622" width="86" style="456" bestFit="1" customWidth="1"/>
    <col min="4623" max="4864" width="9.1796875" style="456"/>
    <col min="4865" max="4865" width="10.81640625" style="456" customWidth="1"/>
    <col min="4866" max="4866" width="9.1796875" style="456"/>
    <col min="4867" max="4867" width="32.54296875" style="456" customWidth="1"/>
    <col min="4868" max="4868" width="9.1796875" style="456"/>
    <col min="4869" max="4869" width="3.26953125" style="456" customWidth="1"/>
    <col min="4870" max="4870" width="9.1796875" style="456"/>
    <col min="4871" max="4871" width="10.1796875" style="456" customWidth="1"/>
    <col min="4872" max="4872" width="9.54296875" style="456" customWidth="1"/>
    <col min="4873" max="4875" width="0" style="456" hidden="1" customWidth="1"/>
    <col min="4876" max="4876" width="13.26953125" style="456" customWidth="1"/>
    <col min="4877" max="4877" width="50.453125" style="456" bestFit="1" customWidth="1"/>
    <col min="4878" max="4878" width="86" style="456" bestFit="1" customWidth="1"/>
    <col min="4879" max="5120" width="9.1796875" style="456"/>
    <col min="5121" max="5121" width="10.81640625" style="456" customWidth="1"/>
    <col min="5122" max="5122" width="9.1796875" style="456"/>
    <col min="5123" max="5123" width="32.54296875" style="456" customWidth="1"/>
    <col min="5124" max="5124" width="9.1796875" style="456"/>
    <col min="5125" max="5125" width="3.26953125" style="456" customWidth="1"/>
    <col min="5126" max="5126" width="9.1796875" style="456"/>
    <col min="5127" max="5127" width="10.1796875" style="456" customWidth="1"/>
    <col min="5128" max="5128" width="9.54296875" style="456" customWidth="1"/>
    <col min="5129" max="5131" width="0" style="456" hidden="1" customWidth="1"/>
    <col min="5132" max="5132" width="13.26953125" style="456" customWidth="1"/>
    <col min="5133" max="5133" width="50.453125" style="456" bestFit="1" customWidth="1"/>
    <col min="5134" max="5134" width="86" style="456" bestFit="1" customWidth="1"/>
    <col min="5135" max="5376" width="9.1796875" style="456"/>
    <col min="5377" max="5377" width="10.81640625" style="456" customWidth="1"/>
    <col min="5378" max="5378" width="9.1796875" style="456"/>
    <col min="5379" max="5379" width="32.54296875" style="456" customWidth="1"/>
    <col min="5380" max="5380" width="9.1796875" style="456"/>
    <col min="5381" max="5381" width="3.26953125" style="456" customWidth="1"/>
    <col min="5382" max="5382" width="9.1796875" style="456"/>
    <col min="5383" max="5383" width="10.1796875" style="456" customWidth="1"/>
    <col min="5384" max="5384" width="9.54296875" style="456" customWidth="1"/>
    <col min="5385" max="5387" width="0" style="456" hidden="1" customWidth="1"/>
    <col min="5388" max="5388" width="13.26953125" style="456" customWidth="1"/>
    <col min="5389" max="5389" width="50.453125" style="456" bestFit="1" customWidth="1"/>
    <col min="5390" max="5390" width="86" style="456" bestFit="1" customWidth="1"/>
    <col min="5391" max="5632" width="9.1796875" style="456"/>
    <col min="5633" max="5633" width="10.81640625" style="456" customWidth="1"/>
    <col min="5634" max="5634" width="9.1796875" style="456"/>
    <col min="5635" max="5635" width="32.54296875" style="456" customWidth="1"/>
    <col min="5636" max="5636" width="9.1796875" style="456"/>
    <col min="5637" max="5637" width="3.26953125" style="456" customWidth="1"/>
    <col min="5638" max="5638" width="9.1796875" style="456"/>
    <col min="5639" max="5639" width="10.1796875" style="456" customWidth="1"/>
    <col min="5640" max="5640" width="9.54296875" style="456" customWidth="1"/>
    <col min="5641" max="5643" width="0" style="456" hidden="1" customWidth="1"/>
    <col min="5644" max="5644" width="13.26953125" style="456" customWidth="1"/>
    <col min="5645" max="5645" width="50.453125" style="456" bestFit="1" customWidth="1"/>
    <col min="5646" max="5646" width="86" style="456" bestFit="1" customWidth="1"/>
    <col min="5647" max="5888" width="9.1796875" style="456"/>
    <col min="5889" max="5889" width="10.81640625" style="456" customWidth="1"/>
    <col min="5890" max="5890" width="9.1796875" style="456"/>
    <col min="5891" max="5891" width="32.54296875" style="456" customWidth="1"/>
    <col min="5892" max="5892" width="9.1796875" style="456"/>
    <col min="5893" max="5893" width="3.26953125" style="456" customWidth="1"/>
    <col min="5894" max="5894" width="9.1796875" style="456"/>
    <col min="5895" max="5895" width="10.1796875" style="456" customWidth="1"/>
    <col min="5896" max="5896" width="9.54296875" style="456" customWidth="1"/>
    <col min="5897" max="5899" width="0" style="456" hidden="1" customWidth="1"/>
    <col min="5900" max="5900" width="13.26953125" style="456" customWidth="1"/>
    <col min="5901" max="5901" width="50.453125" style="456" bestFit="1" customWidth="1"/>
    <col min="5902" max="5902" width="86" style="456" bestFit="1" customWidth="1"/>
    <col min="5903" max="6144" width="9.1796875" style="456"/>
    <col min="6145" max="6145" width="10.81640625" style="456" customWidth="1"/>
    <col min="6146" max="6146" width="9.1796875" style="456"/>
    <col min="6147" max="6147" width="32.54296875" style="456" customWidth="1"/>
    <col min="6148" max="6148" width="9.1796875" style="456"/>
    <col min="6149" max="6149" width="3.26953125" style="456" customWidth="1"/>
    <col min="6150" max="6150" width="9.1796875" style="456"/>
    <col min="6151" max="6151" width="10.1796875" style="456" customWidth="1"/>
    <col min="6152" max="6152" width="9.54296875" style="456" customWidth="1"/>
    <col min="6153" max="6155" width="0" style="456" hidden="1" customWidth="1"/>
    <col min="6156" max="6156" width="13.26953125" style="456" customWidth="1"/>
    <col min="6157" max="6157" width="50.453125" style="456" bestFit="1" customWidth="1"/>
    <col min="6158" max="6158" width="86" style="456" bestFit="1" customWidth="1"/>
    <col min="6159" max="6400" width="9.1796875" style="456"/>
    <col min="6401" max="6401" width="10.81640625" style="456" customWidth="1"/>
    <col min="6402" max="6402" width="9.1796875" style="456"/>
    <col min="6403" max="6403" width="32.54296875" style="456" customWidth="1"/>
    <col min="6404" max="6404" width="9.1796875" style="456"/>
    <col min="6405" max="6405" width="3.26953125" style="456" customWidth="1"/>
    <col min="6406" max="6406" width="9.1796875" style="456"/>
    <col min="6407" max="6407" width="10.1796875" style="456" customWidth="1"/>
    <col min="6408" max="6408" width="9.54296875" style="456" customWidth="1"/>
    <col min="6409" max="6411" width="0" style="456" hidden="1" customWidth="1"/>
    <col min="6412" max="6412" width="13.26953125" style="456" customWidth="1"/>
    <col min="6413" max="6413" width="50.453125" style="456" bestFit="1" customWidth="1"/>
    <col min="6414" max="6414" width="86" style="456" bestFit="1" customWidth="1"/>
    <col min="6415" max="6656" width="9.1796875" style="456"/>
    <col min="6657" max="6657" width="10.81640625" style="456" customWidth="1"/>
    <col min="6658" max="6658" width="9.1796875" style="456"/>
    <col min="6659" max="6659" width="32.54296875" style="456" customWidth="1"/>
    <col min="6660" max="6660" width="9.1796875" style="456"/>
    <col min="6661" max="6661" width="3.26953125" style="456" customWidth="1"/>
    <col min="6662" max="6662" width="9.1796875" style="456"/>
    <col min="6663" max="6663" width="10.1796875" style="456" customWidth="1"/>
    <col min="6664" max="6664" width="9.54296875" style="456" customWidth="1"/>
    <col min="6665" max="6667" width="0" style="456" hidden="1" customWidth="1"/>
    <col min="6668" max="6668" width="13.26953125" style="456" customWidth="1"/>
    <col min="6669" max="6669" width="50.453125" style="456" bestFit="1" customWidth="1"/>
    <col min="6670" max="6670" width="86" style="456" bestFit="1" customWidth="1"/>
    <col min="6671" max="6912" width="9.1796875" style="456"/>
    <col min="6913" max="6913" width="10.81640625" style="456" customWidth="1"/>
    <col min="6914" max="6914" width="9.1796875" style="456"/>
    <col min="6915" max="6915" width="32.54296875" style="456" customWidth="1"/>
    <col min="6916" max="6916" width="9.1796875" style="456"/>
    <col min="6917" max="6917" width="3.26953125" style="456" customWidth="1"/>
    <col min="6918" max="6918" width="9.1796875" style="456"/>
    <col min="6919" max="6919" width="10.1796875" style="456" customWidth="1"/>
    <col min="6920" max="6920" width="9.54296875" style="456" customWidth="1"/>
    <col min="6921" max="6923" width="0" style="456" hidden="1" customWidth="1"/>
    <col min="6924" max="6924" width="13.26953125" style="456" customWidth="1"/>
    <col min="6925" max="6925" width="50.453125" style="456" bestFit="1" customWidth="1"/>
    <col min="6926" max="6926" width="86" style="456" bestFit="1" customWidth="1"/>
    <col min="6927" max="7168" width="9.1796875" style="456"/>
    <col min="7169" max="7169" width="10.81640625" style="456" customWidth="1"/>
    <col min="7170" max="7170" width="9.1796875" style="456"/>
    <col min="7171" max="7171" width="32.54296875" style="456" customWidth="1"/>
    <col min="7172" max="7172" width="9.1796875" style="456"/>
    <col min="7173" max="7173" width="3.26953125" style="456" customWidth="1"/>
    <col min="7174" max="7174" width="9.1796875" style="456"/>
    <col min="7175" max="7175" width="10.1796875" style="456" customWidth="1"/>
    <col min="7176" max="7176" width="9.54296875" style="456" customWidth="1"/>
    <col min="7177" max="7179" width="0" style="456" hidden="1" customWidth="1"/>
    <col min="7180" max="7180" width="13.26953125" style="456" customWidth="1"/>
    <col min="7181" max="7181" width="50.453125" style="456" bestFit="1" customWidth="1"/>
    <col min="7182" max="7182" width="86" style="456" bestFit="1" customWidth="1"/>
    <col min="7183" max="7424" width="9.1796875" style="456"/>
    <col min="7425" max="7425" width="10.81640625" style="456" customWidth="1"/>
    <col min="7426" max="7426" width="9.1796875" style="456"/>
    <col min="7427" max="7427" width="32.54296875" style="456" customWidth="1"/>
    <col min="7428" max="7428" width="9.1796875" style="456"/>
    <col min="7429" max="7429" width="3.26953125" style="456" customWidth="1"/>
    <col min="7430" max="7430" width="9.1796875" style="456"/>
    <col min="7431" max="7431" width="10.1796875" style="456" customWidth="1"/>
    <col min="7432" max="7432" width="9.54296875" style="456" customWidth="1"/>
    <col min="7433" max="7435" width="0" style="456" hidden="1" customWidth="1"/>
    <col min="7436" max="7436" width="13.26953125" style="456" customWidth="1"/>
    <col min="7437" max="7437" width="50.453125" style="456" bestFit="1" customWidth="1"/>
    <col min="7438" max="7438" width="86" style="456" bestFit="1" customWidth="1"/>
    <col min="7439" max="7680" width="9.1796875" style="456"/>
    <col min="7681" max="7681" width="10.81640625" style="456" customWidth="1"/>
    <col min="7682" max="7682" width="9.1796875" style="456"/>
    <col min="7683" max="7683" width="32.54296875" style="456" customWidth="1"/>
    <col min="7684" max="7684" width="9.1796875" style="456"/>
    <col min="7685" max="7685" width="3.26953125" style="456" customWidth="1"/>
    <col min="7686" max="7686" width="9.1796875" style="456"/>
    <col min="7687" max="7687" width="10.1796875" style="456" customWidth="1"/>
    <col min="7688" max="7688" width="9.54296875" style="456" customWidth="1"/>
    <col min="7689" max="7691" width="0" style="456" hidden="1" customWidth="1"/>
    <col min="7692" max="7692" width="13.26953125" style="456" customWidth="1"/>
    <col min="7693" max="7693" width="50.453125" style="456" bestFit="1" customWidth="1"/>
    <col min="7694" max="7694" width="86" style="456" bestFit="1" customWidth="1"/>
    <col min="7695" max="7936" width="9.1796875" style="456"/>
    <col min="7937" max="7937" width="10.81640625" style="456" customWidth="1"/>
    <col min="7938" max="7938" width="9.1796875" style="456"/>
    <col min="7939" max="7939" width="32.54296875" style="456" customWidth="1"/>
    <col min="7940" max="7940" width="9.1796875" style="456"/>
    <col min="7941" max="7941" width="3.26953125" style="456" customWidth="1"/>
    <col min="7942" max="7942" width="9.1796875" style="456"/>
    <col min="7943" max="7943" width="10.1796875" style="456" customWidth="1"/>
    <col min="7944" max="7944" width="9.54296875" style="456" customWidth="1"/>
    <col min="7945" max="7947" width="0" style="456" hidden="1" customWidth="1"/>
    <col min="7948" max="7948" width="13.26953125" style="456" customWidth="1"/>
    <col min="7949" max="7949" width="50.453125" style="456" bestFit="1" customWidth="1"/>
    <col min="7950" max="7950" width="86" style="456" bestFit="1" customWidth="1"/>
    <col min="7951" max="8192" width="9.1796875" style="456"/>
    <col min="8193" max="8193" width="10.81640625" style="456" customWidth="1"/>
    <col min="8194" max="8194" width="9.1796875" style="456"/>
    <col min="8195" max="8195" width="32.54296875" style="456" customWidth="1"/>
    <col min="8196" max="8196" width="9.1796875" style="456"/>
    <col min="8197" max="8197" width="3.26953125" style="456" customWidth="1"/>
    <col min="8198" max="8198" width="9.1796875" style="456"/>
    <col min="8199" max="8199" width="10.1796875" style="456" customWidth="1"/>
    <col min="8200" max="8200" width="9.54296875" style="456" customWidth="1"/>
    <col min="8201" max="8203" width="0" style="456" hidden="1" customWidth="1"/>
    <col min="8204" max="8204" width="13.26953125" style="456" customWidth="1"/>
    <col min="8205" max="8205" width="50.453125" style="456" bestFit="1" customWidth="1"/>
    <col min="8206" max="8206" width="86" style="456" bestFit="1" customWidth="1"/>
    <col min="8207" max="8448" width="9.1796875" style="456"/>
    <col min="8449" max="8449" width="10.81640625" style="456" customWidth="1"/>
    <col min="8450" max="8450" width="9.1796875" style="456"/>
    <col min="8451" max="8451" width="32.54296875" style="456" customWidth="1"/>
    <col min="8452" max="8452" width="9.1796875" style="456"/>
    <col min="8453" max="8453" width="3.26953125" style="456" customWidth="1"/>
    <col min="8454" max="8454" width="9.1796875" style="456"/>
    <col min="8455" max="8455" width="10.1796875" style="456" customWidth="1"/>
    <col min="8456" max="8456" width="9.54296875" style="456" customWidth="1"/>
    <col min="8457" max="8459" width="0" style="456" hidden="1" customWidth="1"/>
    <col min="8460" max="8460" width="13.26953125" style="456" customWidth="1"/>
    <col min="8461" max="8461" width="50.453125" style="456" bestFit="1" customWidth="1"/>
    <col min="8462" max="8462" width="86" style="456" bestFit="1" customWidth="1"/>
    <col min="8463" max="8704" width="9.1796875" style="456"/>
    <col min="8705" max="8705" width="10.81640625" style="456" customWidth="1"/>
    <col min="8706" max="8706" width="9.1796875" style="456"/>
    <col min="8707" max="8707" width="32.54296875" style="456" customWidth="1"/>
    <col min="8708" max="8708" width="9.1796875" style="456"/>
    <col min="8709" max="8709" width="3.26953125" style="456" customWidth="1"/>
    <col min="8710" max="8710" width="9.1796875" style="456"/>
    <col min="8711" max="8711" width="10.1796875" style="456" customWidth="1"/>
    <col min="8712" max="8712" width="9.54296875" style="456" customWidth="1"/>
    <col min="8713" max="8715" width="0" style="456" hidden="1" customWidth="1"/>
    <col min="8716" max="8716" width="13.26953125" style="456" customWidth="1"/>
    <col min="8717" max="8717" width="50.453125" style="456" bestFit="1" customWidth="1"/>
    <col min="8718" max="8718" width="86" style="456" bestFit="1" customWidth="1"/>
    <col min="8719" max="8960" width="9.1796875" style="456"/>
    <col min="8961" max="8961" width="10.81640625" style="456" customWidth="1"/>
    <col min="8962" max="8962" width="9.1796875" style="456"/>
    <col min="8963" max="8963" width="32.54296875" style="456" customWidth="1"/>
    <col min="8964" max="8964" width="9.1796875" style="456"/>
    <col min="8965" max="8965" width="3.26953125" style="456" customWidth="1"/>
    <col min="8966" max="8966" width="9.1796875" style="456"/>
    <col min="8967" max="8967" width="10.1796875" style="456" customWidth="1"/>
    <col min="8968" max="8968" width="9.54296875" style="456" customWidth="1"/>
    <col min="8969" max="8971" width="0" style="456" hidden="1" customWidth="1"/>
    <col min="8972" max="8972" width="13.26953125" style="456" customWidth="1"/>
    <col min="8973" max="8973" width="50.453125" style="456" bestFit="1" customWidth="1"/>
    <col min="8974" max="8974" width="86" style="456" bestFit="1" customWidth="1"/>
    <col min="8975" max="9216" width="9.1796875" style="456"/>
    <col min="9217" max="9217" width="10.81640625" style="456" customWidth="1"/>
    <col min="9218" max="9218" width="9.1796875" style="456"/>
    <col min="9219" max="9219" width="32.54296875" style="456" customWidth="1"/>
    <col min="9220" max="9220" width="9.1796875" style="456"/>
    <col min="9221" max="9221" width="3.26953125" style="456" customWidth="1"/>
    <col min="9222" max="9222" width="9.1796875" style="456"/>
    <col min="9223" max="9223" width="10.1796875" style="456" customWidth="1"/>
    <col min="9224" max="9224" width="9.54296875" style="456" customWidth="1"/>
    <col min="9225" max="9227" width="0" style="456" hidden="1" customWidth="1"/>
    <col min="9228" max="9228" width="13.26953125" style="456" customWidth="1"/>
    <col min="9229" max="9229" width="50.453125" style="456" bestFit="1" customWidth="1"/>
    <col min="9230" max="9230" width="86" style="456" bestFit="1" customWidth="1"/>
    <col min="9231" max="9472" width="9.1796875" style="456"/>
    <col min="9473" max="9473" width="10.81640625" style="456" customWidth="1"/>
    <col min="9474" max="9474" width="9.1796875" style="456"/>
    <col min="9475" max="9475" width="32.54296875" style="456" customWidth="1"/>
    <col min="9476" max="9476" width="9.1796875" style="456"/>
    <col min="9477" max="9477" width="3.26953125" style="456" customWidth="1"/>
    <col min="9478" max="9478" width="9.1796875" style="456"/>
    <col min="9479" max="9479" width="10.1796875" style="456" customWidth="1"/>
    <col min="9480" max="9480" width="9.54296875" style="456" customWidth="1"/>
    <col min="9481" max="9483" width="0" style="456" hidden="1" customWidth="1"/>
    <col min="9484" max="9484" width="13.26953125" style="456" customWidth="1"/>
    <col min="9485" max="9485" width="50.453125" style="456" bestFit="1" customWidth="1"/>
    <col min="9486" max="9486" width="86" style="456" bestFit="1" customWidth="1"/>
    <col min="9487" max="9728" width="9.1796875" style="456"/>
    <col min="9729" max="9729" width="10.81640625" style="456" customWidth="1"/>
    <col min="9730" max="9730" width="9.1796875" style="456"/>
    <col min="9731" max="9731" width="32.54296875" style="456" customWidth="1"/>
    <col min="9732" max="9732" width="9.1796875" style="456"/>
    <col min="9733" max="9733" width="3.26953125" style="456" customWidth="1"/>
    <col min="9734" max="9734" width="9.1796875" style="456"/>
    <col min="9735" max="9735" width="10.1796875" style="456" customWidth="1"/>
    <col min="9736" max="9736" width="9.54296875" style="456" customWidth="1"/>
    <col min="9737" max="9739" width="0" style="456" hidden="1" customWidth="1"/>
    <col min="9740" max="9740" width="13.26953125" style="456" customWidth="1"/>
    <col min="9741" max="9741" width="50.453125" style="456" bestFit="1" customWidth="1"/>
    <col min="9742" max="9742" width="86" style="456" bestFit="1" customWidth="1"/>
    <col min="9743" max="9984" width="9.1796875" style="456"/>
    <col min="9985" max="9985" width="10.81640625" style="456" customWidth="1"/>
    <col min="9986" max="9986" width="9.1796875" style="456"/>
    <col min="9987" max="9987" width="32.54296875" style="456" customWidth="1"/>
    <col min="9988" max="9988" width="9.1796875" style="456"/>
    <col min="9989" max="9989" width="3.26953125" style="456" customWidth="1"/>
    <col min="9990" max="9990" width="9.1796875" style="456"/>
    <col min="9991" max="9991" width="10.1796875" style="456" customWidth="1"/>
    <col min="9992" max="9992" width="9.54296875" style="456" customWidth="1"/>
    <col min="9993" max="9995" width="0" style="456" hidden="1" customWidth="1"/>
    <col min="9996" max="9996" width="13.26953125" style="456" customWidth="1"/>
    <col min="9997" max="9997" width="50.453125" style="456" bestFit="1" customWidth="1"/>
    <col min="9998" max="9998" width="86" style="456" bestFit="1" customWidth="1"/>
    <col min="9999" max="10240" width="9.1796875" style="456"/>
    <col min="10241" max="10241" width="10.81640625" style="456" customWidth="1"/>
    <col min="10242" max="10242" width="9.1796875" style="456"/>
    <col min="10243" max="10243" width="32.54296875" style="456" customWidth="1"/>
    <col min="10244" max="10244" width="9.1796875" style="456"/>
    <col min="10245" max="10245" width="3.26953125" style="456" customWidth="1"/>
    <col min="10246" max="10246" width="9.1796875" style="456"/>
    <col min="10247" max="10247" width="10.1796875" style="456" customWidth="1"/>
    <col min="10248" max="10248" width="9.54296875" style="456" customWidth="1"/>
    <col min="10249" max="10251" width="0" style="456" hidden="1" customWidth="1"/>
    <col min="10252" max="10252" width="13.26953125" style="456" customWidth="1"/>
    <col min="10253" max="10253" width="50.453125" style="456" bestFit="1" customWidth="1"/>
    <col min="10254" max="10254" width="86" style="456" bestFit="1" customWidth="1"/>
    <col min="10255" max="10496" width="9.1796875" style="456"/>
    <col min="10497" max="10497" width="10.81640625" style="456" customWidth="1"/>
    <col min="10498" max="10498" width="9.1796875" style="456"/>
    <col min="10499" max="10499" width="32.54296875" style="456" customWidth="1"/>
    <col min="10500" max="10500" width="9.1796875" style="456"/>
    <col min="10501" max="10501" width="3.26953125" style="456" customWidth="1"/>
    <col min="10502" max="10502" width="9.1796875" style="456"/>
    <col min="10503" max="10503" width="10.1796875" style="456" customWidth="1"/>
    <col min="10504" max="10504" width="9.54296875" style="456" customWidth="1"/>
    <col min="10505" max="10507" width="0" style="456" hidden="1" customWidth="1"/>
    <col min="10508" max="10508" width="13.26953125" style="456" customWidth="1"/>
    <col min="10509" max="10509" width="50.453125" style="456" bestFit="1" customWidth="1"/>
    <col min="10510" max="10510" width="86" style="456" bestFit="1" customWidth="1"/>
    <col min="10511" max="10752" width="9.1796875" style="456"/>
    <col min="10753" max="10753" width="10.81640625" style="456" customWidth="1"/>
    <col min="10754" max="10754" width="9.1796875" style="456"/>
    <col min="10755" max="10755" width="32.54296875" style="456" customWidth="1"/>
    <col min="10756" max="10756" width="9.1796875" style="456"/>
    <col min="10757" max="10757" width="3.26953125" style="456" customWidth="1"/>
    <col min="10758" max="10758" width="9.1796875" style="456"/>
    <col min="10759" max="10759" width="10.1796875" style="456" customWidth="1"/>
    <col min="10760" max="10760" width="9.54296875" style="456" customWidth="1"/>
    <col min="10761" max="10763" width="0" style="456" hidden="1" customWidth="1"/>
    <col min="10764" max="10764" width="13.26953125" style="456" customWidth="1"/>
    <col min="10765" max="10765" width="50.453125" style="456" bestFit="1" customWidth="1"/>
    <col min="10766" max="10766" width="86" style="456" bestFit="1" customWidth="1"/>
    <col min="10767" max="11008" width="9.1796875" style="456"/>
    <col min="11009" max="11009" width="10.81640625" style="456" customWidth="1"/>
    <col min="11010" max="11010" width="9.1796875" style="456"/>
    <col min="11011" max="11011" width="32.54296875" style="456" customWidth="1"/>
    <col min="11012" max="11012" width="9.1796875" style="456"/>
    <col min="11013" max="11013" width="3.26953125" style="456" customWidth="1"/>
    <col min="11014" max="11014" width="9.1796875" style="456"/>
    <col min="11015" max="11015" width="10.1796875" style="456" customWidth="1"/>
    <col min="11016" max="11016" width="9.54296875" style="456" customWidth="1"/>
    <col min="11017" max="11019" width="0" style="456" hidden="1" customWidth="1"/>
    <col min="11020" max="11020" width="13.26953125" style="456" customWidth="1"/>
    <col min="11021" max="11021" width="50.453125" style="456" bestFit="1" customWidth="1"/>
    <col min="11022" max="11022" width="86" style="456" bestFit="1" customWidth="1"/>
    <col min="11023" max="11264" width="9.1796875" style="456"/>
    <col min="11265" max="11265" width="10.81640625" style="456" customWidth="1"/>
    <col min="11266" max="11266" width="9.1796875" style="456"/>
    <col min="11267" max="11267" width="32.54296875" style="456" customWidth="1"/>
    <col min="11268" max="11268" width="9.1796875" style="456"/>
    <col min="11269" max="11269" width="3.26953125" style="456" customWidth="1"/>
    <col min="11270" max="11270" width="9.1796875" style="456"/>
    <col min="11271" max="11271" width="10.1796875" style="456" customWidth="1"/>
    <col min="11272" max="11272" width="9.54296875" style="456" customWidth="1"/>
    <col min="11273" max="11275" width="0" style="456" hidden="1" customWidth="1"/>
    <col min="11276" max="11276" width="13.26953125" style="456" customWidth="1"/>
    <col min="11277" max="11277" width="50.453125" style="456" bestFit="1" customWidth="1"/>
    <col min="11278" max="11278" width="86" style="456" bestFit="1" customWidth="1"/>
    <col min="11279" max="11520" width="9.1796875" style="456"/>
    <col min="11521" max="11521" width="10.81640625" style="456" customWidth="1"/>
    <col min="11522" max="11522" width="9.1796875" style="456"/>
    <col min="11523" max="11523" width="32.54296875" style="456" customWidth="1"/>
    <col min="11524" max="11524" width="9.1796875" style="456"/>
    <col min="11525" max="11525" width="3.26953125" style="456" customWidth="1"/>
    <col min="11526" max="11526" width="9.1796875" style="456"/>
    <col min="11527" max="11527" width="10.1796875" style="456" customWidth="1"/>
    <col min="11528" max="11528" width="9.54296875" style="456" customWidth="1"/>
    <col min="11529" max="11531" width="0" style="456" hidden="1" customWidth="1"/>
    <col min="11532" max="11532" width="13.26953125" style="456" customWidth="1"/>
    <col min="11533" max="11533" width="50.453125" style="456" bestFit="1" customWidth="1"/>
    <col min="11534" max="11534" width="86" style="456" bestFit="1" customWidth="1"/>
    <col min="11535" max="11776" width="9.1796875" style="456"/>
    <col min="11777" max="11777" width="10.81640625" style="456" customWidth="1"/>
    <col min="11778" max="11778" width="9.1796875" style="456"/>
    <col min="11779" max="11779" width="32.54296875" style="456" customWidth="1"/>
    <col min="11780" max="11780" width="9.1796875" style="456"/>
    <col min="11781" max="11781" width="3.26953125" style="456" customWidth="1"/>
    <col min="11782" max="11782" width="9.1796875" style="456"/>
    <col min="11783" max="11783" width="10.1796875" style="456" customWidth="1"/>
    <col min="11784" max="11784" width="9.54296875" style="456" customWidth="1"/>
    <col min="11785" max="11787" width="0" style="456" hidden="1" customWidth="1"/>
    <col min="11788" max="11788" width="13.26953125" style="456" customWidth="1"/>
    <col min="11789" max="11789" width="50.453125" style="456" bestFit="1" customWidth="1"/>
    <col min="11790" max="11790" width="86" style="456" bestFit="1" customWidth="1"/>
    <col min="11791" max="12032" width="9.1796875" style="456"/>
    <col min="12033" max="12033" width="10.81640625" style="456" customWidth="1"/>
    <col min="12034" max="12034" width="9.1796875" style="456"/>
    <col min="12035" max="12035" width="32.54296875" style="456" customWidth="1"/>
    <col min="12036" max="12036" width="9.1796875" style="456"/>
    <col min="12037" max="12037" width="3.26953125" style="456" customWidth="1"/>
    <col min="12038" max="12038" width="9.1796875" style="456"/>
    <col min="12039" max="12039" width="10.1796875" style="456" customWidth="1"/>
    <col min="12040" max="12040" width="9.54296875" style="456" customWidth="1"/>
    <col min="12041" max="12043" width="0" style="456" hidden="1" customWidth="1"/>
    <col min="12044" max="12044" width="13.26953125" style="456" customWidth="1"/>
    <col min="12045" max="12045" width="50.453125" style="456" bestFit="1" customWidth="1"/>
    <col min="12046" max="12046" width="86" style="456" bestFit="1" customWidth="1"/>
    <col min="12047" max="12288" width="9.1796875" style="456"/>
    <col min="12289" max="12289" width="10.81640625" style="456" customWidth="1"/>
    <col min="12290" max="12290" width="9.1796875" style="456"/>
    <col min="12291" max="12291" width="32.54296875" style="456" customWidth="1"/>
    <col min="12292" max="12292" width="9.1796875" style="456"/>
    <col min="12293" max="12293" width="3.26953125" style="456" customWidth="1"/>
    <col min="12294" max="12294" width="9.1796875" style="456"/>
    <col min="12295" max="12295" width="10.1796875" style="456" customWidth="1"/>
    <col min="12296" max="12296" width="9.54296875" style="456" customWidth="1"/>
    <col min="12297" max="12299" width="0" style="456" hidden="1" customWidth="1"/>
    <col min="12300" max="12300" width="13.26953125" style="456" customWidth="1"/>
    <col min="12301" max="12301" width="50.453125" style="456" bestFit="1" customWidth="1"/>
    <col min="12302" max="12302" width="86" style="456" bestFit="1" customWidth="1"/>
    <col min="12303" max="12544" width="9.1796875" style="456"/>
    <col min="12545" max="12545" width="10.81640625" style="456" customWidth="1"/>
    <col min="12546" max="12546" width="9.1796875" style="456"/>
    <col min="12547" max="12547" width="32.54296875" style="456" customWidth="1"/>
    <col min="12548" max="12548" width="9.1796875" style="456"/>
    <col min="12549" max="12549" width="3.26953125" style="456" customWidth="1"/>
    <col min="12550" max="12550" width="9.1796875" style="456"/>
    <col min="12551" max="12551" width="10.1796875" style="456" customWidth="1"/>
    <col min="12552" max="12552" width="9.54296875" style="456" customWidth="1"/>
    <col min="12553" max="12555" width="0" style="456" hidden="1" customWidth="1"/>
    <col min="12556" max="12556" width="13.26953125" style="456" customWidth="1"/>
    <col min="12557" max="12557" width="50.453125" style="456" bestFit="1" customWidth="1"/>
    <col min="12558" max="12558" width="86" style="456" bestFit="1" customWidth="1"/>
    <col min="12559" max="12800" width="9.1796875" style="456"/>
    <col min="12801" max="12801" width="10.81640625" style="456" customWidth="1"/>
    <col min="12802" max="12802" width="9.1796875" style="456"/>
    <col min="12803" max="12803" width="32.54296875" style="456" customWidth="1"/>
    <col min="12804" max="12804" width="9.1796875" style="456"/>
    <col min="12805" max="12805" width="3.26953125" style="456" customWidth="1"/>
    <col min="12806" max="12806" width="9.1796875" style="456"/>
    <col min="12807" max="12807" width="10.1796875" style="456" customWidth="1"/>
    <col min="12808" max="12808" width="9.54296875" style="456" customWidth="1"/>
    <col min="12809" max="12811" width="0" style="456" hidden="1" customWidth="1"/>
    <col min="12812" max="12812" width="13.26953125" style="456" customWidth="1"/>
    <col min="12813" max="12813" width="50.453125" style="456" bestFit="1" customWidth="1"/>
    <col min="12814" max="12814" width="86" style="456" bestFit="1" customWidth="1"/>
    <col min="12815" max="13056" width="9.1796875" style="456"/>
    <col min="13057" max="13057" width="10.81640625" style="456" customWidth="1"/>
    <col min="13058" max="13058" width="9.1796875" style="456"/>
    <col min="13059" max="13059" width="32.54296875" style="456" customWidth="1"/>
    <col min="13060" max="13060" width="9.1796875" style="456"/>
    <col min="13061" max="13061" width="3.26953125" style="456" customWidth="1"/>
    <col min="13062" max="13062" width="9.1796875" style="456"/>
    <col min="13063" max="13063" width="10.1796875" style="456" customWidth="1"/>
    <col min="13064" max="13064" width="9.54296875" style="456" customWidth="1"/>
    <col min="13065" max="13067" width="0" style="456" hidden="1" customWidth="1"/>
    <col min="13068" max="13068" width="13.26953125" style="456" customWidth="1"/>
    <col min="13069" max="13069" width="50.453125" style="456" bestFit="1" customWidth="1"/>
    <col min="13070" max="13070" width="86" style="456" bestFit="1" customWidth="1"/>
    <col min="13071" max="13312" width="9.1796875" style="456"/>
    <col min="13313" max="13313" width="10.81640625" style="456" customWidth="1"/>
    <col min="13314" max="13314" width="9.1796875" style="456"/>
    <col min="13315" max="13315" width="32.54296875" style="456" customWidth="1"/>
    <col min="13316" max="13316" width="9.1796875" style="456"/>
    <col min="13317" max="13317" width="3.26953125" style="456" customWidth="1"/>
    <col min="13318" max="13318" width="9.1796875" style="456"/>
    <col min="13319" max="13319" width="10.1796875" style="456" customWidth="1"/>
    <col min="13320" max="13320" width="9.54296875" style="456" customWidth="1"/>
    <col min="13321" max="13323" width="0" style="456" hidden="1" customWidth="1"/>
    <col min="13324" max="13324" width="13.26953125" style="456" customWidth="1"/>
    <col min="13325" max="13325" width="50.453125" style="456" bestFit="1" customWidth="1"/>
    <col min="13326" max="13326" width="86" style="456" bestFit="1" customWidth="1"/>
    <col min="13327" max="13568" width="9.1796875" style="456"/>
    <col min="13569" max="13569" width="10.81640625" style="456" customWidth="1"/>
    <col min="13570" max="13570" width="9.1796875" style="456"/>
    <col min="13571" max="13571" width="32.54296875" style="456" customWidth="1"/>
    <col min="13572" max="13572" width="9.1796875" style="456"/>
    <col min="13573" max="13573" width="3.26953125" style="456" customWidth="1"/>
    <col min="13574" max="13574" width="9.1796875" style="456"/>
    <col min="13575" max="13575" width="10.1796875" style="456" customWidth="1"/>
    <col min="13576" max="13576" width="9.54296875" style="456" customWidth="1"/>
    <col min="13577" max="13579" width="0" style="456" hidden="1" customWidth="1"/>
    <col min="13580" max="13580" width="13.26953125" style="456" customWidth="1"/>
    <col min="13581" max="13581" width="50.453125" style="456" bestFit="1" customWidth="1"/>
    <col min="13582" max="13582" width="86" style="456" bestFit="1" customWidth="1"/>
    <col min="13583" max="13824" width="9.1796875" style="456"/>
    <col min="13825" max="13825" width="10.81640625" style="456" customWidth="1"/>
    <col min="13826" max="13826" width="9.1796875" style="456"/>
    <col min="13827" max="13827" width="32.54296875" style="456" customWidth="1"/>
    <col min="13828" max="13828" width="9.1796875" style="456"/>
    <col min="13829" max="13829" width="3.26953125" style="456" customWidth="1"/>
    <col min="13830" max="13830" width="9.1796875" style="456"/>
    <col min="13831" max="13831" width="10.1796875" style="456" customWidth="1"/>
    <col min="13832" max="13832" width="9.54296875" style="456" customWidth="1"/>
    <col min="13833" max="13835" width="0" style="456" hidden="1" customWidth="1"/>
    <col min="13836" max="13836" width="13.26953125" style="456" customWidth="1"/>
    <col min="13837" max="13837" width="50.453125" style="456" bestFit="1" customWidth="1"/>
    <col min="13838" max="13838" width="86" style="456" bestFit="1" customWidth="1"/>
    <col min="13839" max="14080" width="9.1796875" style="456"/>
    <col min="14081" max="14081" width="10.81640625" style="456" customWidth="1"/>
    <col min="14082" max="14082" width="9.1796875" style="456"/>
    <col min="14083" max="14083" width="32.54296875" style="456" customWidth="1"/>
    <col min="14084" max="14084" width="9.1796875" style="456"/>
    <col min="14085" max="14085" width="3.26953125" style="456" customWidth="1"/>
    <col min="14086" max="14086" width="9.1796875" style="456"/>
    <col min="14087" max="14087" width="10.1796875" style="456" customWidth="1"/>
    <col min="14088" max="14088" width="9.54296875" style="456" customWidth="1"/>
    <col min="14089" max="14091" width="0" style="456" hidden="1" customWidth="1"/>
    <col min="14092" max="14092" width="13.26953125" style="456" customWidth="1"/>
    <col min="14093" max="14093" width="50.453125" style="456" bestFit="1" customWidth="1"/>
    <col min="14094" max="14094" width="86" style="456" bestFit="1" customWidth="1"/>
    <col min="14095" max="14336" width="9.1796875" style="456"/>
    <col min="14337" max="14337" width="10.81640625" style="456" customWidth="1"/>
    <col min="14338" max="14338" width="9.1796875" style="456"/>
    <col min="14339" max="14339" width="32.54296875" style="456" customWidth="1"/>
    <col min="14340" max="14340" width="9.1796875" style="456"/>
    <col min="14341" max="14341" width="3.26953125" style="456" customWidth="1"/>
    <col min="14342" max="14342" width="9.1796875" style="456"/>
    <col min="14343" max="14343" width="10.1796875" style="456" customWidth="1"/>
    <col min="14344" max="14344" width="9.54296875" style="456" customWidth="1"/>
    <col min="14345" max="14347" width="0" style="456" hidden="1" customWidth="1"/>
    <col min="14348" max="14348" width="13.26953125" style="456" customWidth="1"/>
    <col min="14349" max="14349" width="50.453125" style="456" bestFit="1" customWidth="1"/>
    <col min="14350" max="14350" width="86" style="456" bestFit="1" customWidth="1"/>
    <col min="14351" max="14592" width="9.1796875" style="456"/>
    <col min="14593" max="14593" width="10.81640625" style="456" customWidth="1"/>
    <col min="14594" max="14594" width="9.1796875" style="456"/>
    <col min="14595" max="14595" width="32.54296875" style="456" customWidth="1"/>
    <col min="14596" max="14596" width="9.1796875" style="456"/>
    <col min="14597" max="14597" width="3.26953125" style="456" customWidth="1"/>
    <col min="14598" max="14598" width="9.1796875" style="456"/>
    <col min="14599" max="14599" width="10.1796875" style="456" customWidth="1"/>
    <col min="14600" max="14600" width="9.54296875" style="456" customWidth="1"/>
    <col min="14601" max="14603" width="0" style="456" hidden="1" customWidth="1"/>
    <col min="14604" max="14604" width="13.26953125" style="456" customWidth="1"/>
    <col min="14605" max="14605" width="50.453125" style="456" bestFit="1" customWidth="1"/>
    <col min="14606" max="14606" width="86" style="456" bestFit="1" customWidth="1"/>
    <col min="14607" max="14848" width="9.1796875" style="456"/>
    <col min="14849" max="14849" width="10.81640625" style="456" customWidth="1"/>
    <col min="14850" max="14850" width="9.1796875" style="456"/>
    <col min="14851" max="14851" width="32.54296875" style="456" customWidth="1"/>
    <col min="14852" max="14852" width="9.1796875" style="456"/>
    <col min="14853" max="14853" width="3.26953125" style="456" customWidth="1"/>
    <col min="14854" max="14854" width="9.1796875" style="456"/>
    <col min="14855" max="14855" width="10.1796875" style="456" customWidth="1"/>
    <col min="14856" max="14856" width="9.54296875" style="456" customWidth="1"/>
    <col min="14857" max="14859" width="0" style="456" hidden="1" customWidth="1"/>
    <col min="14860" max="14860" width="13.26953125" style="456" customWidth="1"/>
    <col min="14861" max="14861" width="50.453125" style="456" bestFit="1" customWidth="1"/>
    <col min="14862" max="14862" width="86" style="456" bestFit="1" customWidth="1"/>
    <col min="14863" max="15104" width="9.1796875" style="456"/>
    <col min="15105" max="15105" width="10.81640625" style="456" customWidth="1"/>
    <col min="15106" max="15106" width="9.1796875" style="456"/>
    <col min="15107" max="15107" width="32.54296875" style="456" customWidth="1"/>
    <col min="15108" max="15108" width="9.1796875" style="456"/>
    <col min="15109" max="15109" width="3.26953125" style="456" customWidth="1"/>
    <col min="15110" max="15110" width="9.1796875" style="456"/>
    <col min="15111" max="15111" width="10.1796875" style="456" customWidth="1"/>
    <col min="15112" max="15112" width="9.54296875" style="456" customWidth="1"/>
    <col min="15113" max="15115" width="0" style="456" hidden="1" customWidth="1"/>
    <col min="15116" max="15116" width="13.26953125" style="456" customWidth="1"/>
    <col min="15117" max="15117" width="50.453125" style="456" bestFit="1" customWidth="1"/>
    <col min="15118" max="15118" width="86" style="456" bestFit="1" customWidth="1"/>
    <col min="15119" max="15360" width="9.1796875" style="456"/>
    <col min="15361" max="15361" width="10.81640625" style="456" customWidth="1"/>
    <col min="15362" max="15362" width="9.1796875" style="456"/>
    <col min="15363" max="15363" width="32.54296875" style="456" customWidth="1"/>
    <col min="15364" max="15364" width="9.1796875" style="456"/>
    <col min="15365" max="15365" width="3.26953125" style="456" customWidth="1"/>
    <col min="15366" max="15366" width="9.1796875" style="456"/>
    <col min="15367" max="15367" width="10.1796875" style="456" customWidth="1"/>
    <col min="15368" max="15368" width="9.54296875" style="456" customWidth="1"/>
    <col min="15369" max="15371" width="0" style="456" hidden="1" customWidth="1"/>
    <col min="15372" max="15372" width="13.26953125" style="456" customWidth="1"/>
    <col min="15373" max="15373" width="50.453125" style="456" bestFit="1" customWidth="1"/>
    <col min="15374" max="15374" width="86" style="456" bestFit="1" customWidth="1"/>
    <col min="15375" max="15616" width="9.1796875" style="456"/>
    <col min="15617" max="15617" width="10.81640625" style="456" customWidth="1"/>
    <col min="15618" max="15618" width="9.1796875" style="456"/>
    <col min="15619" max="15619" width="32.54296875" style="456" customWidth="1"/>
    <col min="15620" max="15620" width="9.1796875" style="456"/>
    <col min="15621" max="15621" width="3.26953125" style="456" customWidth="1"/>
    <col min="15622" max="15622" width="9.1796875" style="456"/>
    <col min="15623" max="15623" width="10.1796875" style="456" customWidth="1"/>
    <col min="15624" max="15624" width="9.54296875" style="456" customWidth="1"/>
    <col min="15625" max="15627" width="0" style="456" hidden="1" customWidth="1"/>
    <col min="15628" max="15628" width="13.26953125" style="456" customWidth="1"/>
    <col min="15629" max="15629" width="50.453125" style="456" bestFit="1" customWidth="1"/>
    <col min="15630" max="15630" width="86" style="456" bestFit="1" customWidth="1"/>
    <col min="15631" max="15872" width="9.1796875" style="456"/>
    <col min="15873" max="15873" width="10.81640625" style="456" customWidth="1"/>
    <col min="15874" max="15874" width="9.1796875" style="456"/>
    <col min="15875" max="15875" width="32.54296875" style="456" customWidth="1"/>
    <col min="15876" max="15876" width="9.1796875" style="456"/>
    <col min="15877" max="15877" width="3.26953125" style="456" customWidth="1"/>
    <col min="15878" max="15878" width="9.1796875" style="456"/>
    <col min="15879" max="15879" width="10.1796875" style="456" customWidth="1"/>
    <col min="15880" max="15880" width="9.54296875" style="456" customWidth="1"/>
    <col min="15881" max="15883" width="0" style="456" hidden="1" customWidth="1"/>
    <col min="15884" max="15884" width="13.26953125" style="456" customWidth="1"/>
    <col min="15885" max="15885" width="50.453125" style="456" bestFit="1" customWidth="1"/>
    <col min="15886" max="15886" width="86" style="456" bestFit="1" customWidth="1"/>
    <col min="15887" max="16128" width="9.1796875" style="456"/>
    <col min="16129" max="16129" width="10.81640625" style="456" customWidth="1"/>
    <col min="16130" max="16130" width="9.1796875" style="456"/>
    <col min="16131" max="16131" width="32.54296875" style="456" customWidth="1"/>
    <col min="16132" max="16132" width="9.1796875" style="456"/>
    <col min="16133" max="16133" width="3.26953125" style="456" customWidth="1"/>
    <col min="16134" max="16134" width="9.1796875" style="456"/>
    <col min="16135" max="16135" width="10.1796875" style="456" customWidth="1"/>
    <col min="16136" max="16136" width="9.54296875" style="456" customWidth="1"/>
    <col min="16137" max="16139" width="0" style="456" hidden="1" customWidth="1"/>
    <col min="16140" max="16140" width="13.26953125" style="456" customWidth="1"/>
    <col min="16141" max="16141" width="50.453125" style="456" bestFit="1" customWidth="1"/>
    <col min="16142" max="16142" width="86" style="456" bestFit="1" customWidth="1"/>
    <col min="16143" max="16384" width="9.1796875" style="456"/>
  </cols>
  <sheetData>
    <row r="1" spans="1:14" ht="18" x14ac:dyDescent="0.3">
      <c r="A1" s="452" t="s">
        <v>335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4"/>
    </row>
    <row r="2" spans="1:14" ht="15.5" x14ac:dyDescent="0.3">
      <c r="A2" s="457" t="s">
        <v>318</v>
      </c>
      <c r="B2" s="458"/>
      <c r="C2" s="459" t="s">
        <v>319</v>
      </c>
      <c r="D2" s="458"/>
      <c r="E2" s="458"/>
      <c r="F2" s="458"/>
      <c r="G2" s="458"/>
      <c r="H2" s="458"/>
      <c r="I2" s="458"/>
      <c r="J2" s="458"/>
      <c r="K2" s="458"/>
      <c r="L2" s="454"/>
    </row>
    <row r="3" spans="1:14" ht="14.25" customHeight="1" x14ac:dyDescent="0.3">
      <c r="A3" s="457" t="s">
        <v>336</v>
      </c>
      <c r="C3" s="460"/>
      <c r="L3" s="454"/>
    </row>
    <row r="4" spans="1:14" x14ac:dyDescent="0.3">
      <c r="A4" s="461" t="s">
        <v>337</v>
      </c>
    </row>
    <row r="5" spans="1:14" ht="83.25" customHeight="1" x14ac:dyDescent="0.3">
      <c r="A5" s="462" t="s">
        <v>338</v>
      </c>
      <c r="B5" s="463"/>
      <c r="C5" s="463"/>
      <c r="D5" s="463"/>
      <c r="E5" s="463"/>
      <c r="F5" s="463"/>
      <c r="G5" s="463"/>
      <c r="H5" s="463"/>
    </row>
    <row r="6" spans="1:14" x14ac:dyDescent="0.3">
      <c r="A6" s="464"/>
    </row>
    <row r="7" spans="1:14" x14ac:dyDescent="0.3">
      <c r="A7" s="464"/>
      <c r="D7" s="465"/>
      <c r="F7" s="465"/>
      <c r="N7" s="466"/>
    </row>
    <row r="8" spans="1:14" ht="28" x14ac:dyDescent="0.3">
      <c r="D8" s="467" t="s">
        <v>339</v>
      </c>
      <c r="E8" s="466"/>
      <c r="F8" s="467" t="s">
        <v>340</v>
      </c>
      <c r="G8" s="467" t="s">
        <v>341</v>
      </c>
      <c r="H8" s="467" t="s">
        <v>341</v>
      </c>
      <c r="I8" s="467"/>
      <c r="J8" s="467"/>
      <c r="K8" s="467"/>
      <c r="L8" s="468" t="s">
        <v>342</v>
      </c>
      <c r="M8" s="469" t="s">
        <v>343</v>
      </c>
      <c r="N8" s="470" t="s">
        <v>344</v>
      </c>
    </row>
    <row r="9" spans="1:14" x14ac:dyDescent="0.3">
      <c r="D9" s="467" t="s">
        <v>326</v>
      </c>
      <c r="E9" s="466"/>
      <c r="F9" s="467" t="s">
        <v>326</v>
      </c>
      <c r="G9" s="467" t="s">
        <v>326</v>
      </c>
      <c r="H9" s="467" t="s">
        <v>345</v>
      </c>
      <c r="I9" s="467"/>
      <c r="J9" s="467"/>
      <c r="K9" s="466"/>
      <c r="L9" s="466"/>
      <c r="N9" s="455"/>
    </row>
    <row r="10" spans="1:14" ht="14.5" thickBot="1" x14ac:dyDescent="0.35">
      <c r="D10" s="465"/>
      <c r="E10" s="465"/>
      <c r="N10" s="455"/>
    </row>
    <row r="11" spans="1:14" ht="85" customHeight="1" thickBot="1" x14ac:dyDescent="0.35">
      <c r="A11" s="453" t="s">
        <v>346</v>
      </c>
      <c r="B11" s="453"/>
      <c r="C11" s="453"/>
      <c r="D11" s="471">
        <v>48805</v>
      </c>
      <c r="F11" s="471">
        <f>'[1]Ledger Receipts'!M7</f>
        <v>59782.11</v>
      </c>
      <c r="G11" s="472">
        <f t="shared" ref="G11" si="0">F11-D11</f>
        <v>10977.11</v>
      </c>
      <c r="H11" s="473">
        <f t="shared" ref="H11" si="1">IF((D11&gt;F11),(D11-F11)/D11,IF(D11&lt;F11,-(D11-F11)/D11,IF(D11=F11,0)))</f>
        <v>0.22491773383874605</v>
      </c>
      <c r="I11" s="456">
        <f t="shared" ref="I11:I12" si="2">IF(D11-F11&lt;200,0,IF(D11-F11&gt;200,1,IF(D11-F11=200,1)))</f>
        <v>0</v>
      </c>
      <c r="J11" s="456">
        <f t="shared" ref="J11:J12" si="3">IF(F11-D11&lt;200,0,IF(F11-D11&gt;200,1,IF(F11-D11=200,1)))</f>
        <v>1</v>
      </c>
      <c r="K11" s="465">
        <f t="shared" ref="K11:K12" si="4">IF(H11&lt;0.15,0,IF(H11&gt;0.15,1,IF(H11=0.15,1)))</f>
        <v>1</v>
      </c>
      <c r="L11" s="465" t="str">
        <f t="shared" ref="L11" si="5">IF(H11&lt;15%, "NO","YES")</f>
        <v>YES</v>
      </c>
      <c r="M11" s="469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474" t="s">
        <v>347</v>
      </c>
    </row>
    <row r="12" spans="1:14" ht="14.5" thickBot="1" x14ac:dyDescent="0.35">
      <c r="D12" s="472"/>
      <c r="F12" s="472"/>
      <c r="G12" s="472"/>
      <c r="H12" s="473"/>
      <c r="I12" s="456">
        <f t="shared" si="2"/>
        <v>0</v>
      </c>
      <c r="J12" s="456">
        <f t="shared" si="3"/>
        <v>0</v>
      </c>
      <c r="K12" s="465">
        <f t="shared" si="4"/>
        <v>0</v>
      </c>
      <c r="L12" s="465"/>
      <c r="N12" s="455"/>
    </row>
    <row r="13" spans="1:14" ht="31.5" customHeight="1" thickBot="1" x14ac:dyDescent="0.35">
      <c r="A13" s="475" t="s">
        <v>348</v>
      </c>
      <c r="B13" s="476"/>
      <c r="C13" s="477"/>
      <c r="D13" s="471">
        <v>25471</v>
      </c>
      <c r="F13" s="471">
        <f>'[1]Ledger Receipts'!D21</f>
        <v>25441</v>
      </c>
      <c r="G13" s="472">
        <f>F13-D13</f>
        <v>-30</v>
      </c>
      <c r="H13" s="473">
        <f>IF((D13&gt;F13),(D13-F13)/D13,IF(D13&lt;F13,-(D13-F13)/D13,IF(D13=F13,0)))</f>
        <v>1.1778100584978995E-3</v>
      </c>
      <c r="I13" s="456">
        <f>IF(D13-F13&lt;200,0,IF(D13-F13&gt;200,1,IF(D13-F13=200,1)))</f>
        <v>0</v>
      </c>
      <c r="J13" s="456">
        <f>IF(F13-D13&lt;200,0,IF(F13-D13&gt;200,1,IF(F13-D13=200,1)))</f>
        <v>0</v>
      </c>
      <c r="K13" s="465">
        <f>IF(H13&lt;0.15,0,IF(H13&gt;0.15,1,IF(H13=0.15,1)))</f>
        <v>0</v>
      </c>
      <c r="L13" s="465" t="str">
        <f>IF(H13&lt;15%, "NO","YES")</f>
        <v>NO</v>
      </c>
      <c r="M13" s="469" t="str">
        <f>IF((L13="YES")*AND(I13+J13&lt;1),"Explanation not required, difference less than £200"," ")</f>
        <v xml:space="preserve"> </v>
      </c>
      <c r="N13" s="474"/>
    </row>
    <row r="14" spans="1:14" ht="14.5" thickBot="1" x14ac:dyDescent="0.35">
      <c r="D14" s="472"/>
      <c r="F14" s="472"/>
      <c r="G14" s="472"/>
      <c r="H14" s="473"/>
      <c r="K14" s="465"/>
      <c r="L14" s="465"/>
      <c r="N14" s="455"/>
    </row>
    <row r="15" spans="1:14" ht="70.5" customHeight="1" thickBot="1" x14ac:dyDescent="0.35">
      <c r="A15" s="478" t="s">
        <v>349</v>
      </c>
      <c r="B15" s="478"/>
      <c r="C15" s="478"/>
      <c r="D15" s="471">
        <v>30675</v>
      </c>
      <c r="F15" s="471">
        <f>'[1]Ledger Receipts'!I123-'[1]Ledger Receipts'!D119</f>
        <v>68103.070000000007</v>
      </c>
      <c r="G15" s="472">
        <f>F15-D15</f>
        <v>37428.070000000007</v>
      </c>
      <c r="H15" s="473">
        <f>IF((D15&gt;F15),(D15-F15)/D15,IF(D15&lt;F15,-(D15-F15)/D15,IF(D15=F15,0)))</f>
        <v>1.2201489812550939</v>
      </c>
      <c r="I15" s="456">
        <f>IF(D15-F15&lt;200,0,IF(D15-F15&gt;200,1,IF(D15-F15=200,1)))</f>
        <v>0</v>
      </c>
      <c r="J15" s="456">
        <f>IF(F15-D15&lt;200,0,IF(F15-D15&gt;200,1,IF(F15-D15=200,1)))</f>
        <v>1</v>
      </c>
      <c r="K15" s="465">
        <f>IF(H15&lt;0.15,0,IF(H15&gt;0.15,1,IF(H15=0.15,1)))</f>
        <v>1</v>
      </c>
      <c r="L15" s="465" t="str">
        <f>IF(H15&lt;15%, "NO","YES")</f>
        <v>YES</v>
      </c>
      <c r="M15" s="479"/>
      <c r="N15" s="480" t="s">
        <v>350</v>
      </c>
    </row>
    <row r="16" spans="1:14" ht="14.5" thickBot="1" x14ac:dyDescent="0.35">
      <c r="D16" s="472"/>
      <c r="F16" s="472"/>
      <c r="G16" s="472"/>
      <c r="H16" s="473"/>
      <c r="K16" s="465"/>
      <c r="L16" s="465"/>
      <c r="M16" s="479"/>
      <c r="N16" s="455"/>
    </row>
    <row r="17" spans="1:14" ht="45.5" customHeight="1" thickBot="1" x14ac:dyDescent="0.35">
      <c r="A17" s="478" t="s">
        <v>351</v>
      </c>
      <c r="B17" s="478"/>
      <c r="C17" s="478"/>
      <c r="D17" s="471">
        <v>9166</v>
      </c>
      <c r="F17" s="471">
        <f>'[1]Cash book'!L191</f>
        <v>10971.21</v>
      </c>
      <c r="G17" s="472">
        <f>F17-D17</f>
        <v>1805.2099999999991</v>
      </c>
      <c r="H17" s="473">
        <f>IF((D17&gt;F17),(D17-F17)/D17,IF(D17&lt;F17,-(D17-F17)/D17,IF(D17=F17,0)))</f>
        <v>0.19694632336897219</v>
      </c>
      <c r="I17" s="456">
        <f>IF(D17-F17&lt;200,0,IF(D17-F17&gt;200,1,IF(D17-F17=200,1)))</f>
        <v>0</v>
      </c>
      <c r="J17" s="456">
        <f>IF(F17-D17&lt;200,0,IF(F17-D17&gt;200,1,IF(F17-D17=200,1)))</f>
        <v>1</v>
      </c>
      <c r="K17" s="465">
        <f>IF(H17&lt;0.15,0,IF(H17&gt;0.15,1,IF(H17=0.15,1)))</f>
        <v>1</v>
      </c>
      <c r="L17" s="465" t="str">
        <f>IF(H17&lt;15%, "NO","YES")</f>
        <v>YES</v>
      </c>
      <c r="M17" s="479"/>
      <c r="N17" s="474" t="s">
        <v>352</v>
      </c>
    </row>
    <row r="18" spans="1:14" ht="14.5" thickBot="1" x14ac:dyDescent="0.35">
      <c r="D18" s="472"/>
      <c r="F18" s="472"/>
      <c r="G18" s="472"/>
      <c r="H18" s="473"/>
      <c r="K18" s="465"/>
      <c r="L18" s="465"/>
      <c r="M18" s="479"/>
      <c r="N18" s="455"/>
    </row>
    <row r="19" spans="1:14" ht="20.149999999999999" customHeight="1" thickBot="1" x14ac:dyDescent="0.35">
      <c r="A19" s="478" t="s">
        <v>353</v>
      </c>
      <c r="B19" s="478"/>
      <c r="C19" s="478"/>
      <c r="D19" s="471">
        <v>0</v>
      </c>
      <c r="F19" s="471">
        <v>0</v>
      </c>
      <c r="G19" s="472">
        <f>F19-D19</f>
        <v>0</v>
      </c>
      <c r="H19" s="473">
        <f>IF((D19&gt;F19),(D19-F19)/D19,IF(D19&lt;F19,-(D19-F19)/D19,IF(D19=F19,0)))</f>
        <v>0</v>
      </c>
      <c r="I19" s="456">
        <f>IF(D19-F19&lt;200,0,IF(D19-F19&gt;200,1,IF(D19-F19=200,1)))</f>
        <v>0</v>
      </c>
      <c r="J19" s="456">
        <f>IF(F19-D19&lt;200,0,IF(F19-D19&gt;200,1,IF(F19-D19=200,1)))</f>
        <v>0</v>
      </c>
      <c r="K19" s="465">
        <f>IF(H19&lt;0.15,0,IF(H19&gt;0.15,1,IF(H19=0.15,1)))</f>
        <v>0</v>
      </c>
      <c r="L19" s="465" t="str">
        <f>IF(H19&lt;15%, "NO","YES")</f>
        <v>NO</v>
      </c>
      <c r="M19" s="479"/>
      <c r="N19" s="474"/>
    </row>
    <row r="20" spans="1:14" ht="14.5" thickBot="1" x14ac:dyDescent="0.35">
      <c r="D20" s="472"/>
      <c r="F20" s="472"/>
      <c r="G20" s="472"/>
      <c r="H20" s="473"/>
      <c r="K20" s="465"/>
      <c r="L20" s="465"/>
      <c r="M20" s="479"/>
      <c r="N20" s="455"/>
    </row>
    <row r="21" spans="1:14" ht="45.5" customHeight="1" thickBot="1" x14ac:dyDescent="0.35">
      <c r="A21" s="478" t="s">
        <v>354</v>
      </c>
      <c r="B21" s="478"/>
      <c r="C21" s="478"/>
      <c r="D21" s="471">
        <v>36003</v>
      </c>
      <c r="F21" s="471">
        <f>'[1]Cash book'!J187-'[1]Cash book'!L187</f>
        <v>119818.93</v>
      </c>
      <c r="G21" s="472">
        <f>F21-D21</f>
        <v>83815.929999999993</v>
      </c>
      <c r="H21" s="473">
        <f>IF((D21&gt;F21),(D21-F21)/D21,IF(D21&lt;F21,-(D21-F21)/D21,IF(D21=F21,0)))</f>
        <v>2.3280262755881451</v>
      </c>
      <c r="I21" s="456">
        <f>IF(D21-F21&lt;200,0,IF(D21-F21&gt;200,1,IF(D21-F21=200,1)))</f>
        <v>0</v>
      </c>
      <c r="J21" s="456">
        <f>IF(F21-D21&lt;200,0,IF(F21-D21&gt;200,1,IF(F21-D21=200,1)))</f>
        <v>1</v>
      </c>
      <c r="K21" s="465">
        <f>IF(H21&lt;0.15,0,IF(H21&gt;0.15,1,IF(H21=0.15,1)))</f>
        <v>1</v>
      </c>
      <c r="L21" s="465" t="str">
        <f>IF(H21&lt;15%, "NO","YES")</f>
        <v>YES</v>
      </c>
      <c r="M21" s="469"/>
      <c r="N21" s="474" t="s">
        <v>355</v>
      </c>
    </row>
    <row r="22" spans="1:14" ht="14.5" thickBot="1" x14ac:dyDescent="0.35">
      <c r="D22" s="472"/>
      <c r="F22" s="472"/>
      <c r="G22" s="472"/>
      <c r="H22" s="473"/>
      <c r="K22" s="465"/>
      <c r="L22" s="465"/>
      <c r="N22" s="455"/>
    </row>
    <row r="23" spans="1:14" ht="20.149999999999999" customHeight="1" thickBot="1" x14ac:dyDescent="0.35">
      <c r="A23" s="481" t="s">
        <v>356</v>
      </c>
      <c r="D23" s="482">
        <f>D11+D13+D15-D17-D19-D21</f>
        <v>59782</v>
      </c>
      <c r="F23" s="482">
        <f>'[1]Ledger Receipts'!I115</f>
        <v>22536.04</v>
      </c>
      <c r="G23" s="472"/>
      <c r="H23" s="473"/>
      <c r="K23" s="465"/>
      <c r="L23" s="465"/>
      <c r="M23" s="483" t="s">
        <v>357</v>
      </c>
      <c r="N23" s="455"/>
    </row>
    <row r="24" spans="1:14" x14ac:dyDescent="0.3">
      <c r="A24" s="481"/>
      <c r="D24" s="484"/>
      <c r="F24" s="484"/>
      <c r="G24" s="472"/>
      <c r="H24" s="473"/>
      <c r="K24" s="465"/>
      <c r="L24" s="485" t="str">
        <f>IF(F23&gt;(2*F13),"YES","NO")</f>
        <v>NO</v>
      </c>
      <c r="M24" s="486" t="str">
        <f>IF(F23&gt;(2*F13),"EXPLANATION REQUIRED ON RESERVES TAB AS TO WHY CARRY FORWARD RESERVES ARE GREATER THAN TWICE INCOME FROM LOCAL TAXATION/LEVIES"," ")</f>
        <v xml:space="preserve"> </v>
      </c>
      <c r="N24" s="455"/>
    </row>
    <row r="25" spans="1:14" ht="14.5" thickBot="1" x14ac:dyDescent="0.35">
      <c r="D25" s="472"/>
      <c r="F25" s="472"/>
      <c r="G25" s="472"/>
      <c r="H25" s="473"/>
      <c r="K25" s="465"/>
      <c r="L25" s="465"/>
      <c r="N25" s="455"/>
    </row>
    <row r="26" spans="1:14" ht="20.149999999999999" customHeight="1" thickBot="1" x14ac:dyDescent="0.35">
      <c r="A26" s="478" t="s">
        <v>358</v>
      </c>
      <c r="B26" s="478"/>
      <c r="C26" s="478"/>
      <c r="D26" s="471">
        <v>0</v>
      </c>
      <c r="F26" s="471">
        <v>0</v>
      </c>
      <c r="G26" s="472"/>
      <c r="H26" s="473"/>
      <c r="K26" s="465"/>
      <c r="L26" s="465"/>
      <c r="M26" s="483" t="s">
        <v>357</v>
      </c>
      <c r="N26" s="455"/>
    </row>
    <row r="27" spans="1:14" ht="14.5" thickBot="1" x14ac:dyDescent="0.35">
      <c r="D27" s="472"/>
      <c r="F27" s="472"/>
      <c r="G27" s="472"/>
      <c r="H27" s="473"/>
      <c r="K27" s="465"/>
      <c r="L27" s="465"/>
      <c r="N27" s="455"/>
    </row>
    <row r="28" spans="1:14" ht="34" customHeight="1" thickBot="1" x14ac:dyDescent="0.35">
      <c r="A28" s="478" t="s">
        <v>359</v>
      </c>
      <c r="B28" s="478"/>
      <c r="C28" s="478"/>
      <c r="D28" s="471">
        <v>64123</v>
      </c>
      <c r="F28" s="471">
        <v>132929</v>
      </c>
      <c r="G28" s="472">
        <f>F28-D28</f>
        <v>68806</v>
      </c>
      <c r="H28" s="473">
        <f>IF((D28&gt;F28),(D28-F28)/D28,IF(D28&lt;F28,-(D28-F28)/D28,IF(D28=F28,0)))</f>
        <v>1.0730315175522043</v>
      </c>
      <c r="I28" s="456">
        <f>IF(D28-F28&lt;200,0,IF(D28-F28&gt;200,1,IF(D28-F28=200,1)))</f>
        <v>0</v>
      </c>
      <c r="J28" s="456">
        <f>IF(F28-D28&lt;200,0,IF(F28-D28&gt;200,1,IF(F28-D28=200,1)))</f>
        <v>1</v>
      </c>
      <c r="K28" s="465">
        <f>IF(H28&lt;0.15,0,IF(H28&gt;0.15,1,IF(H28=0.15,1)))</f>
        <v>1</v>
      </c>
      <c r="L28" s="465" t="str">
        <f>IF(H28&lt;15%, "NO","YES")</f>
        <v>YES</v>
      </c>
      <c r="M28" s="469" t="str">
        <f>IF((L28="YES")*AND(I28+J28&lt;1),"Explanation not required, difference less than £200"," ")</f>
        <v xml:space="preserve"> </v>
      </c>
      <c r="N28" s="474" t="s">
        <v>360</v>
      </c>
    </row>
    <row r="29" spans="1:14" ht="14.5" thickBot="1" x14ac:dyDescent="0.35">
      <c r="D29" s="472"/>
      <c r="F29" s="472"/>
      <c r="G29" s="472"/>
      <c r="H29" s="473"/>
      <c r="K29" s="465"/>
      <c r="L29" s="465"/>
      <c r="N29" s="455"/>
    </row>
    <row r="30" spans="1:14" ht="20.149999999999999" customHeight="1" thickBot="1" x14ac:dyDescent="0.35">
      <c r="A30" s="478" t="s">
        <v>361</v>
      </c>
      <c r="B30" s="478"/>
      <c r="C30" s="478"/>
      <c r="D30" s="471">
        <v>0</v>
      </c>
      <c r="F30" s="471">
        <v>0</v>
      </c>
      <c r="G30" s="472">
        <f>F30-D30</f>
        <v>0</v>
      </c>
      <c r="H30" s="473">
        <f>IF((D30&gt;F30),(D30-F30)/D30,IF(D30&lt;F30,-(D30-F30)/D30,IF(D30=F30,0)))</f>
        <v>0</v>
      </c>
      <c r="I30" s="456">
        <f>IF(D30-F30&lt;100,0,IF(D30-F30&gt;100,1,IF(D30-F30=100,1)))</f>
        <v>0</v>
      </c>
      <c r="J30" s="456">
        <f>IF(F30-D30&lt;100,0,IF(F30-D30&gt;100,1,IF(F30-D30=100,1)))</f>
        <v>0</v>
      </c>
      <c r="K30" s="465">
        <f>IF(H30&lt;0.15,0,IF(H30&gt;0.15,1,IF(H30=0.15,1)))</f>
        <v>0</v>
      </c>
      <c r="L30" s="465" t="str">
        <f>IF(H30&lt;15%, "NO","YES")</f>
        <v>NO</v>
      </c>
      <c r="M30" s="469" t="str">
        <f>IF((L30="YES")*AND(I30+J30&lt;1),"Explanation not required, difference less than £200"," ")</f>
        <v xml:space="preserve"> </v>
      </c>
      <c r="N30" s="474"/>
    </row>
    <row r="31" spans="1:14" x14ac:dyDescent="0.3">
      <c r="H31" s="473"/>
      <c r="K31" s="465"/>
      <c r="L31" s="465"/>
      <c r="N31" s="455"/>
    </row>
    <row r="32" spans="1:14" x14ac:dyDescent="0.3">
      <c r="C32" s="487" t="s">
        <v>362</v>
      </c>
    </row>
    <row r="33" spans="1:22" ht="15" customHeight="1" x14ac:dyDescent="0.3">
      <c r="O33" s="488"/>
      <c r="P33" s="488"/>
      <c r="Q33" s="488"/>
      <c r="R33" s="488"/>
      <c r="S33" s="488"/>
      <c r="T33" s="488"/>
      <c r="U33" s="488"/>
      <c r="V33" s="488"/>
    </row>
    <row r="34" spans="1:22" x14ac:dyDescent="0.3">
      <c r="C34" s="487" t="s">
        <v>363</v>
      </c>
      <c r="N34" s="488"/>
      <c r="O34" s="488"/>
      <c r="P34" s="488"/>
      <c r="Q34" s="488"/>
      <c r="R34" s="488"/>
      <c r="S34" s="488"/>
      <c r="T34" s="488"/>
      <c r="U34" s="488"/>
      <c r="V34" s="488"/>
    </row>
    <row r="36" spans="1:22" x14ac:dyDescent="0.3">
      <c r="C36" s="487" t="s">
        <v>364</v>
      </c>
    </row>
    <row r="38" spans="1:22" x14ac:dyDescent="0.3">
      <c r="A38" s="456" t="s">
        <v>365</v>
      </c>
    </row>
  </sheetData>
  <mergeCells count="11">
    <mergeCell ref="A19:C19"/>
    <mergeCell ref="A21:C21"/>
    <mergeCell ref="A26:C26"/>
    <mergeCell ref="A28:C28"/>
    <mergeCell ref="A30:C30"/>
    <mergeCell ref="A1:K1"/>
    <mergeCell ref="A5:H5"/>
    <mergeCell ref="A11:C11"/>
    <mergeCell ref="A13:C13"/>
    <mergeCell ref="A15:C15"/>
    <mergeCell ref="A17:C17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513AC-24F7-4891-B2A9-5C801DCA8C5E}">
  <sheetPr>
    <tabColor rgb="FFFFC000"/>
    <pageSetUpPr fitToPage="1"/>
  </sheetPr>
  <dimension ref="A1:T35"/>
  <sheetViews>
    <sheetView topLeftCell="A27" workbookViewId="0">
      <selection activeCell="F45" sqref="F45"/>
    </sheetView>
  </sheetViews>
  <sheetFormatPr defaultColWidth="9.1796875" defaultRowHeight="13.5" x14ac:dyDescent="0.3"/>
  <cols>
    <col min="1" max="1" width="33.1796875" style="426" customWidth="1"/>
    <col min="2" max="2" width="10.54296875" style="426" customWidth="1"/>
    <col min="3" max="4" width="9.1796875" style="426"/>
    <col min="5" max="5" width="9.26953125" style="426" customWidth="1"/>
    <col min="6" max="7" width="9.7265625" style="432" bestFit="1" customWidth="1"/>
    <col min="8" max="16384" width="9.1796875" style="426"/>
  </cols>
  <sheetData>
    <row r="1" spans="1:20" s="423" customFormat="1" ht="18" x14ac:dyDescent="0.35">
      <c r="A1" s="422" t="s">
        <v>316</v>
      </c>
      <c r="F1" s="424"/>
      <c r="G1" s="424"/>
    </row>
    <row r="2" spans="1:20" s="423" customFormat="1" ht="17.5" x14ac:dyDescent="0.35">
      <c r="A2" s="425" t="s">
        <v>317</v>
      </c>
      <c r="B2" s="425"/>
      <c r="C2" s="425"/>
      <c r="D2" s="425"/>
      <c r="E2" s="425"/>
      <c r="F2" s="425"/>
      <c r="G2" s="425"/>
      <c r="H2" s="425"/>
      <c r="I2" s="425"/>
    </row>
    <row r="3" spans="1:20" ht="39.75" customHeight="1" x14ac:dyDescent="0.3">
      <c r="A3" s="425"/>
      <c r="B3" s="425"/>
      <c r="C3" s="425"/>
      <c r="D3" s="425"/>
      <c r="E3" s="425"/>
      <c r="F3" s="425"/>
      <c r="G3" s="425"/>
      <c r="H3" s="425"/>
      <c r="I3" s="425"/>
    </row>
    <row r="4" spans="1:20" ht="17.25" customHeight="1" x14ac:dyDescent="0.35">
      <c r="A4" s="427"/>
      <c r="B4" s="427"/>
      <c r="C4" s="427"/>
      <c r="D4" s="427"/>
      <c r="E4" s="427"/>
      <c r="F4" s="427"/>
      <c r="G4" s="427"/>
      <c r="H4" s="427"/>
      <c r="I4" s="427"/>
    </row>
    <row r="5" spans="1:20" x14ac:dyDescent="0.3">
      <c r="A5" s="426" t="s">
        <v>318</v>
      </c>
      <c r="B5" s="428" t="s">
        <v>319</v>
      </c>
      <c r="C5" s="429"/>
      <c r="D5" s="429"/>
      <c r="E5" s="429"/>
      <c r="F5" s="429"/>
      <c r="G5" s="430"/>
    </row>
    <row r="7" spans="1:20" x14ac:dyDescent="0.3">
      <c r="A7" s="426" t="s">
        <v>320</v>
      </c>
      <c r="D7" s="428" t="s">
        <v>321</v>
      </c>
      <c r="E7" s="429"/>
      <c r="F7" s="429"/>
      <c r="G7" s="430"/>
      <c r="K7" s="431"/>
      <c r="L7" s="431"/>
      <c r="M7" s="431"/>
      <c r="N7" s="431"/>
      <c r="O7" s="431"/>
      <c r="P7" s="431"/>
      <c r="Q7" s="431"/>
      <c r="R7" s="431"/>
      <c r="S7" s="431"/>
    </row>
    <row r="8" spans="1:20" x14ac:dyDescent="0.3">
      <c r="K8" s="431"/>
      <c r="L8" s="431"/>
      <c r="M8" s="431"/>
      <c r="N8" s="431"/>
      <c r="O8" s="431"/>
      <c r="P8" s="431"/>
      <c r="Q8" s="431"/>
      <c r="R8" s="431"/>
      <c r="S8" s="431"/>
    </row>
    <row r="9" spans="1:20" x14ac:dyDescent="0.3">
      <c r="A9" s="433" t="s">
        <v>322</v>
      </c>
      <c r="B9" s="433"/>
      <c r="C9" s="433"/>
      <c r="D9" s="433"/>
    </row>
    <row r="11" spans="1:20" x14ac:dyDescent="0.3">
      <c r="A11" s="426" t="s">
        <v>323</v>
      </c>
      <c r="B11" s="434" t="s">
        <v>324</v>
      </c>
      <c r="C11" s="435"/>
      <c r="D11" s="435"/>
      <c r="E11" s="435"/>
      <c r="F11" s="435"/>
      <c r="G11" s="436"/>
    </row>
    <row r="13" spans="1:20" x14ac:dyDescent="0.3">
      <c r="A13" s="426" t="s">
        <v>325</v>
      </c>
      <c r="B13" s="437">
        <v>44655</v>
      </c>
    </row>
    <row r="15" spans="1:20" ht="15.5" x14ac:dyDescent="0.35">
      <c r="F15" s="432" t="s">
        <v>326</v>
      </c>
      <c r="G15" s="432" t="s">
        <v>326</v>
      </c>
      <c r="T15" s="438"/>
    </row>
    <row r="16" spans="1:20" s="433" customFormat="1" x14ac:dyDescent="0.3">
      <c r="A16" s="433" t="s">
        <v>327</v>
      </c>
      <c r="F16" s="439"/>
      <c r="G16" s="439"/>
    </row>
    <row r="17" spans="1:8" x14ac:dyDescent="0.3">
      <c r="B17" s="440" t="s">
        <v>328</v>
      </c>
      <c r="C17" s="440"/>
      <c r="D17" s="440"/>
      <c r="E17" s="440"/>
      <c r="F17" s="441">
        <f>'[1]Ledger Receipts'!I110</f>
        <v>2536.04</v>
      </c>
      <c r="G17" s="442"/>
    </row>
    <row r="18" spans="1:8" x14ac:dyDescent="0.3">
      <c r="B18" s="440" t="s">
        <v>329</v>
      </c>
      <c r="C18" s="440"/>
      <c r="D18" s="440"/>
      <c r="E18" s="440"/>
      <c r="F18" s="441">
        <f>'[1]Ledger Receipts'!I111</f>
        <v>20000</v>
      </c>
      <c r="G18" s="442"/>
    </row>
    <row r="19" spans="1:8" x14ac:dyDescent="0.3">
      <c r="F19" s="443"/>
      <c r="G19" s="444">
        <f>SUM(F17:F18)</f>
        <v>22536.04</v>
      </c>
    </row>
    <row r="20" spans="1:8" x14ac:dyDescent="0.3">
      <c r="F20" s="442"/>
      <c r="G20" s="442"/>
    </row>
    <row r="21" spans="1:8" x14ac:dyDescent="0.3">
      <c r="A21" s="426" t="s">
        <v>330</v>
      </c>
      <c r="F21" s="442"/>
      <c r="G21" s="442">
        <v>0</v>
      </c>
    </row>
    <row r="22" spans="1:8" x14ac:dyDescent="0.3">
      <c r="F22" s="442"/>
      <c r="G22" s="442"/>
    </row>
    <row r="23" spans="1:8" x14ac:dyDescent="0.3">
      <c r="A23" s="426" t="s">
        <v>331</v>
      </c>
      <c r="F23" s="445"/>
      <c r="G23" s="442"/>
    </row>
    <row r="24" spans="1:8" x14ac:dyDescent="0.3">
      <c r="A24" s="440"/>
      <c r="B24" s="440"/>
      <c r="C24" s="440"/>
      <c r="D24" s="440"/>
      <c r="E24" s="440"/>
      <c r="F24" s="446"/>
      <c r="G24" s="442"/>
    </row>
    <row r="25" spans="1:8" x14ac:dyDescent="0.3">
      <c r="F25" s="443"/>
      <c r="G25" s="447">
        <f>SUM(F24:F24)</f>
        <v>0</v>
      </c>
    </row>
    <row r="26" spans="1:8" x14ac:dyDescent="0.3">
      <c r="A26" s="426" t="s">
        <v>332</v>
      </c>
      <c r="F26" s="442"/>
      <c r="G26" s="442"/>
    </row>
    <row r="27" spans="1:8" x14ac:dyDescent="0.3">
      <c r="B27" s="440"/>
      <c r="C27" s="440"/>
      <c r="D27" s="440"/>
      <c r="E27" s="440"/>
      <c r="F27" s="448"/>
      <c r="G27" s="442"/>
    </row>
    <row r="28" spans="1:8" x14ac:dyDescent="0.3">
      <c r="B28" s="440" t="s">
        <v>333</v>
      </c>
      <c r="C28" s="440"/>
      <c r="D28" s="440"/>
      <c r="E28" s="440"/>
      <c r="F28" s="448"/>
      <c r="G28" s="442"/>
    </row>
    <row r="29" spans="1:8" x14ac:dyDescent="0.3">
      <c r="B29" s="440"/>
      <c r="C29" s="440"/>
      <c r="D29" s="440"/>
      <c r="E29" s="440"/>
      <c r="F29" s="448"/>
      <c r="G29" s="442"/>
    </row>
    <row r="30" spans="1:8" x14ac:dyDescent="0.3">
      <c r="F30" s="443"/>
      <c r="G30" s="443">
        <f>SUM(F27:F29)</f>
        <v>0</v>
      </c>
    </row>
    <row r="31" spans="1:8" x14ac:dyDescent="0.3">
      <c r="F31" s="442"/>
      <c r="G31" s="442"/>
    </row>
    <row r="32" spans="1:8" ht="14" thickBot="1" x14ac:dyDescent="0.35">
      <c r="A32" s="433" t="s">
        <v>334</v>
      </c>
      <c r="B32" s="433"/>
      <c r="C32" s="433"/>
      <c r="D32" s="433"/>
      <c r="E32" s="433"/>
      <c r="F32" s="449"/>
      <c r="G32" s="450">
        <f>G19+G21+G25+G30</f>
        <v>22536.04</v>
      </c>
      <c r="H32" s="433"/>
    </row>
    <row r="33" spans="6:7" ht="14" thickTop="1" x14ac:dyDescent="0.3"/>
    <row r="34" spans="6:7" s="440" customFormat="1" x14ac:dyDescent="0.3">
      <c r="F34" s="451"/>
      <c r="G34" s="451"/>
    </row>
    <row r="35" spans="6:7" s="440" customFormat="1" x14ac:dyDescent="0.3">
      <c r="F35" s="451"/>
      <c r="G35" s="451"/>
    </row>
  </sheetData>
  <mergeCells count="5">
    <mergeCell ref="A2:I3"/>
    <mergeCell ref="B5:G5"/>
    <mergeCell ref="D7:G7"/>
    <mergeCell ref="K7:S8"/>
    <mergeCell ref="B11:G1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1AF6E-BF64-4C01-8CC5-6E68955DBA08}">
  <sheetPr>
    <tabColor indexed="50"/>
    <pageSetUpPr fitToPage="1"/>
  </sheetPr>
  <dimension ref="A1:P124"/>
  <sheetViews>
    <sheetView topLeftCell="A106" workbookViewId="0">
      <selection activeCell="K117" sqref="K117"/>
    </sheetView>
  </sheetViews>
  <sheetFormatPr defaultRowHeight="12.5" x14ac:dyDescent="0.25"/>
  <cols>
    <col min="1" max="1" width="17.453125" style="418" bestFit="1" customWidth="1"/>
    <col min="3" max="3" width="33.54296875" customWidth="1"/>
    <col min="4" max="4" width="11.26953125" bestFit="1" customWidth="1"/>
    <col min="5" max="5" width="9.26953125" customWidth="1"/>
    <col min="6" max="6" width="10.26953125" bestFit="1" customWidth="1"/>
    <col min="7" max="7" width="10.26953125" customWidth="1"/>
    <col min="8" max="8" width="11.26953125" customWidth="1"/>
    <col min="9" max="9" width="12.54296875" customWidth="1"/>
    <col min="10" max="11" width="10.26953125" customWidth="1"/>
    <col min="12" max="12" width="9.26953125" customWidth="1"/>
    <col min="13" max="13" width="11" customWidth="1"/>
    <col min="14" max="14" width="11.1796875" customWidth="1"/>
  </cols>
  <sheetData>
    <row r="1" spans="1:16" x14ac:dyDescent="0.25">
      <c r="A1" s="306" t="s">
        <v>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1"/>
      <c r="O1" s="1"/>
      <c r="P1" s="1"/>
    </row>
    <row r="2" spans="1:16" x14ac:dyDescent="0.2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1"/>
      <c r="O2" s="1"/>
      <c r="P2" s="1"/>
    </row>
    <row r="3" spans="1:16" ht="15.5" x14ac:dyDescent="0.35">
      <c r="A3" s="307" t="s">
        <v>261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1"/>
      <c r="O3" s="1"/>
      <c r="P3" s="1"/>
    </row>
    <row r="4" spans="1:16" x14ac:dyDescent="0.25">
      <c r="A4" s="30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09" t="s">
        <v>18</v>
      </c>
      <c r="B5" s="310" t="s">
        <v>262</v>
      </c>
      <c r="C5" s="311" t="s">
        <v>23</v>
      </c>
      <c r="D5" s="312"/>
      <c r="E5" s="313"/>
      <c r="F5" s="313" t="s">
        <v>263</v>
      </c>
      <c r="G5" s="313"/>
      <c r="H5" s="314"/>
      <c r="I5" s="315"/>
      <c r="J5" s="315" t="s">
        <v>264</v>
      </c>
      <c r="K5" s="315"/>
      <c r="L5" s="314"/>
      <c r="M5" s="316" t="s">
        <v>265</v>
      </c>
      <c r="N5" s="1"/>
      <c r="O5" s="1"/>
      <c r="P5" s="1"/>
    </row>
    <row r="6" spans="1:16" x14ac:dyDescent="0.25">
      <c r="A6" s="317"/>
      <c r="B6" s="255" t="s">
        <v>266</v>
      </c>
      <c r="C6" s="133"/>
      <c r="D6" s="255" t="s">
        <v>267</v>
      </c>
      <c r="E6" s="255" t="s">
        <v>268</v>
      </c>
      <c r="F6" s="255" t="s">
        <v>269</v>
      </c>
      <c r="G6" s="255" t="s">
        <v>4</v>
      </c>
      <c r="H6" s="318" t="s">
        <v>31</v>
      </c>
      <c r="I6" s="310" t="s">
        <v>270</v>
      </c>
      <c r="J6" s="310" t="s">
        <v>271</v>
      </c>
      <c r="K6" s="310" t="s">
        <v>272</v>
      </c>
      <c r="L6" s="319" t="s">
        <v>273</v>
      </c>
      <c r="M6" s="320"/>
      <c r="N6" s="1"/>
      <c r="O6" s="1"/>
      <c r="P6" s="1"/>
    </row>
    <row r="7" spans="1:16" ht="13.5" thickBot="1" x14ac:dyDescent="0.35">
      <c r="A7" s="321" t="s">
        <v>274</v>
      </c>
      <c r="B7" s="322"/>
      <c r="C7" s="323"/>
      <c r="D7" s="322"/>
      <c r="E7" s="322"/>
      <c r="F7" s="322"/>
      <c r="G7" s="322"/>
      <c r="H7" s="322"/>
      <c r="I7" s="322"/>
      <c r="J7" s="322"/>
      <c r="K7" s="322"/>
      <c r="L7" s="322"/>
      <c r="M7" s="324">
        <v>59782.11</v>
      </c>
      <c r="N7" s="1"/>
      <c r="O7" s="1"/>
      <c r="P7" s="1"/>
    </row>
    <row r="8" spans="1:16" ht="13" thickTop="1" x14ac:dyDescent="0.25">
      <c r="A8" s="325">
        <v>44294</v>
      </c>
      <c r="B8" s="326" t="s">
        <v>275</v>
      </c>
      <c r="C8" s="327" t="s">
        <v>276</v>
      </c>
      <c r="D8" s="328">
        <v>25441</v>
      </c>
      <c r="E8" s="328"/>
      <c r="F8" s="329"/>
      <c r="G8" s="330"/>
      <c r="H8" s="331"/>
      <c r="I8" s="332">
        <v>25441</v>
      </c>
      <c r="J8" s="333"/>
      <c r="K8" s="333"/>
      <c r="L8" s="331"/>
      <c r="M8" s="334">
        <f>+SUM(I8:L8)</f>
        <v>25441</v>
      </c>
      <c r="N8" s="1"/>
      <c r="O8" s="1"/>
      <c r="P8" s="1"/>
    </row>
    <row r="9" spans="1:16" x14ac:dyDescent="0.25">
      <c r="A9" s="325">
        <v>44308</v>
      </c>
      <c r="B9" s="326" t="s">
        <v>277</v>
      </c>
      <c r="C9" s="327" t="s">
        <v>4</v>
      </c>
      <c r="D9" s="328"/>
      <c r="E9" s="328"/>
      <c r="F9" s="329"/>
      <c r="G9" s="330">
        <v>750.15</v>
      </c>
      <c r="H9" s="331"/>
      <c r="I9" s="332">
        <v>750.15</v>
      </c>
      <c r="J9" s="333"/>
      <c r="K9" s="333"/>
      <c r="L9" s="331"/>
      <c r="M9" s="334">
        <f t="shared" ref="M9:M20" si="0">+SUM(I9:L9)</f>
        <v>750.15</v>
      </c>
      <c r="N9" s="1"/>
      <c r="O9" s="1"/>
      <c r="P9" s="1"/>
    </row>
    <row r="10" spans="1:16" x14ac:dyDescent="0.25">
      <c r="A10" s="325">
        <v>44287</v>
      </c>
      <c r="B10" s="335" t="s">
        <v>278</v>
      </c>
      <c r="C10" s="336" t="s">
        <v>279</v>
      </c>
      <c r="D10" s="337"/>
      <c r="E10" s="337">
        <v>8.66</v>
      </c>
      <c r="F10" s="333"/>
      <c r="G10" s="333"/>
      <c r="H10" s="338"/>
      <c r="I10" s="333"/>
      <c r="J10" s="231">
        <v>8.66</v>
      </c>
      <c r="K10" s="339"/>
      <c r="L10" s="338"/>
      <c r="M10" s="334">
        <f t="shared" si="0"/>
        <v>8.66</v>
      </c>
      <c r="N10" s="1"/>
      <c r="O10" s="1"/>
      <c r="P10" s="1"/>
    </row>
    <row r="11" spans="1:16" x14ac:dyDescent="0.25">
      <c r="A11" s="81"/>
      <c r="B11" s="335"/>
      <c r="C11" s="336"/>
      <c r="D11" s="337"/>
      <c r="E11" s="337"/>
      <c r="F11" s="333"/>
      <c r="G11" s="333"/>
      <c r="H11" s="338"/>
      <c r="I11" s="333"/>
      <c r="J11" s="231"/>
      <c r="K11" s="339"/>
      <c r="L11" s="338"/>
      <c r="M11" s="334">
        <f t="shared" si="0"/>
        <v>0</v>
      </c>
      <c r="N11" s="1"/>
      <c r="O11" s="1"/>
      <c r="P11" s="1"/>
    </row>
    <row r="12" spans="1:16" x14ac:dyDescent="0.25">
      <c r="A12" s="81"/>
      <c r="B12" s="335"/>
      <c r="C12" s="336"/>
      <c r="D12" s="337"/>
      <c r="E12" s="337"/>
      <c r="F12" s="333"/>
      <c r="G12" s="333"/>
      <c r="H12" s="338"/>
      <c r="I12" s="340"/>
      <c r="J12" s="333"/>
      <c r="K12" s="341"/>
      <c r="L12" s="342"/>
      <c r="M12" s="334">
        <f t="shared" si="0"/>
        <v>0</v>
      </c>
      <c r="N12" s="1"/>
      <c r="O12" s="1"/>
      <c r="P12" s="1"/>
    </row>
    <row r="13" spans="1:16" x14ac:dyDescent="0.25">
      <c r="A13" s="343"/>
      <c r="B13" s="65"/>
      <c r="C13" s="336"/>
      <c r="D13" s="337"/>
      <c r="E13" s="337"/>
      <c r="F13" s="333"/>
      <c r="G13" s="333"/>
      <c r="H13" s="338"/>
      <c r="I13" s="344"/>
      <c r="J13" s="333"/>
      <c r="K13" s="341"/>
      <c r="L13" s="338"/>
      <c r="M13" s="334">
        <f t="shared" si="0"/>
        <v>0</v>
      </c>
      <c r="N13" s="1"/>
      <c r="O13" s="1"/>
      <c r="P13" s="1"/>
    </row>
    <row r="14" spans="1:16" x14ac:dyDescent="0.25">
      <c r="A14" s="81"/>
      <c r="B14" s="335"/>
      <c r="C14" s="336"/>
      <c r="D14" s="337"/>
      <c r="E14" s="337"/>
      <c r="F14" s="333"/>
      <c r="G14" s="333"/>
      <c r="H14" s="338"/>
      <c r="I14" s="344"/>
      <c r="J14" s="333"/>
      <c r="K14" s="341"/>
      <c r="L14" s="338"/>
      <c r="M14" s="334">
        <f t="shared" si="0"/>
        <v>0</v>
      </c>
      <c r="N14" s="1"/>
      <c r="O14" s="1"/>
      <c r="P14" s="1"/>
    </row>
    <row r="15" spans="1:16" x14ac:dyDescent="0.25">
      <c r="A15" s="81"/>
      <c r="B15" s="72"/>
      <c r="C15" s="336"/>
      <c r="D15" s="337"/>
      <c r="E15" s="337"/>
      <c r="F15" s="333"/>
      <c r="G15" s="333"/>
      <c r="H15" s="338"/>
      <c r="I15" s="344"/>
      <c r="J15" s="333"/>
      <c r="K15" s="341"/>
      <c r="L15" s="338"/>
      <c r="M15" s="334">
        <f t="shared" si="0"/>
        <v>0</v>
      </c>
      <c r="N15" s="1"/>
      <c r="O15" s="1"/>
      <c r="P15" s="1"/>
    </row>
    <row r="16" spans="1:16" x14ac:dyDescent="0.25">
      <c r="A16" s="81"/>
      <c r="B16" s="72"/>
      <c r="C16" s="345"/>
      <c r="D16" s="337"/>
      <c r="E16" s="337"/>
      <c r="F16" s="333"/>
      <c r="G16" s="333"/>
      <c r="H16" s="338"/>
      <c r="I16" s="346"/>
      <c r="J16" s="347"/>
      <c r="K16" s="348"/>
      <c r="L16" s="338"/>
      <c r="M16" s="334">
        <f t="shared" si="0"/>
        <v>0</v>
      </c>
      <c r="N16" s="1"/>
      <c r="O16" s="1"/>
      <c r="P16" s="1"/>
    </row>
    <row r="17" spans="1:16" x14ac:dyDescent="0.25">
      <c r="A17" s="81"/>
      <c r="B17" s="72"/>
      <c r="C17" s="345"/>
      <c r="D17" s="337"/>
      <c r="E17" s="337"/>
      <c r="F17" s="333"/>
      <c r="G17" s="333"/>
      <c r="H17" s="338"/>
      <c r="I17" s="344"/>
      <c r="J17" s="333"/>
      <c r="K17" s="341"/>
      <c r="L17" s="338"/>
      <c r="M17" s="334">
        <f t="shared" si="0"/>
        <v>0</v>
      </c>
      <c r="N17" s="1"/>
      <c r="O17" s="1"/>
      <c r="P17" s="1"/>
    </row>
    <row r="18" spans="1:16" x14ac:dyDescent="0.25">
      <c r="A18" s="81"/>
      <c r="B18" s="72"/>
      <c r="C18" s="345"/>
      <c r="D18" s="337"/>
      <c r="E18" s="337"/>
      <c r="F18" s="349"/>
      <c r="G18" s="333"/>
      <c r="H18" s="338"/>
      <c r="I18" s="344"/>
      <c r="J18" s="333"/>
      <c r="K18" s="341"/>
      <c r="L18" s="338"/>
      <c r="M18" s="334">
        <f t="shared" si="0"/>
        <v>0</v>
      </c>
      <c r="N18" s="1"/>
      <c r="O18" s="1"/>
      <c r="P18" s="1"/>
    </row>
    <row r="19" spans="1:16" x14ac:dyDescent="0.25">
      <c r="A19" s="81"/>
      <c r="B19" s="72"/>
      <c r="C19" s="345"/>
      <c r="D19" s="337"/>
      <c r="E19" s="337"/>
      <c r="F19" s="349"/>
      <c r="G19" s="333"/>
      <c r="H19" s="338"/>
      <c r="I19" s="344"/>
      <c r="J19" s="333"/>
      <c r="K19" s="341"/>
      <c r="L19" s="338"/>
      <c r="M19" s="334">
        <f t="shared" si="0"/>
        <v>0</v>
      </c>
      <c r="N19" s="1"/>
      <c r="O19" s="1"/>
      <c r="P19" s="1"/>
    </row>
    <row r="20" spans="1:16" ht="13" thickBot="1" x14ac:dyDescent="0.3">
      <c r="A20" s="350"/>
      <c r="B20" s="100"/>
      <c r="C20" s="351"/>
      <c r="D20" s="351"/>
      <c r="E20" s="351"/>
      <c r="F20" s="351"/>
      <c r="G20" s="352"/>
      <c r="H20" s="353"/>
      <c r="I20" s="354"/>
      <c r="J20" s="352"/>
      <c r="K20" s="355"/>
      <c r="L20" s="353"/>
      <c r="M20" s="334">
        <f t="shared" si="0"/>
        <v>0</v>
      </c>
      <c r="N20" s="1"/>
      <c r="O20" s="1"/>
      <c r="P20" s="1"/>
    </row>
    <row r="21" spans="1:16" ht="13.5" thickTop="1" thickBot="1" x14ac:dyDescent="0.3">
      <c r="A21" s="356"/>
      <c r="B21" s="357"/>
      <c r="C21" s="358"/>
      <c r="D21" s="359">
        <f t="shared" ref="D21:J21" si="1">+SUM(D8:D20)</f>
        <v>25441</v>
      </c>
      <c r="E21" s="359">
        <f t="shared" si="1"/>
        <v>8.66</v>
      </c>
      <c r="F21" s="359">
        <f t="shared" si="1"/>
        <v>0</v>
      </c>
      <c r="G21" s="359">
        <f t="shared" si="1"/>
        <v>750.15</v>
      </c>
      <c r="H21" s="360">
        <f t="shared" si="1"/>
        <v>0</v>
      </c>
      <c r="I21" s="361">
        <f t="shared" si="1"/>
        <v>26191.15</v>
      </c>
      <c r="J21" s="361">
        <f t="shared" si="1"/>
        <v>8.66</v>
      </c>
      <c r="K21" s="362"/>
      <c r="L21" s="363">
        <f>+SUM(L8:L20)</f>
        <v>0</v>
      </c>
      <c r="M21" s="364">
        <f>+SUM(M7:M20)</f>
        <v>85981.92</v>
      </c>
      <c r="N21" s="1"/>
      <c r="O21" s="1"/>
      <c r="P21" s="1"/>
    </row>
    <row r="22" spans="1:16" ht="13" thickTop="1" x14ac:dyDescent="0.25">
      <c r="A22" s="308"/>
      <c r="B22" s="1"/>
      <c r="C22" s="1"/>
      <c r="D22" s="1"/>
      <c r="E22" s="1"/>
      <c r="F22" s="1"/>
      <c r="G22" s="1"/>
      <c r="H22" s="1"/>
      <c r="I22" s="365"/>
      <c r="J22" s="365"/>
      <c r="K22" s="365"/>
      <c r="L22" s="365"/>
      <c r="M22" s="366"/>
      <c r="N22" s="1"/>
      <c r="O22" s="1"/>
      <c r="P22" s="1"/>
    </row>
    <row r="23" spans="1:16" x14ac:dyDescent="0.25">
      <c r="A23" s="308"/>
      <c r="B23" s="1"/>
      <c r="C23" s="1" t="s">
        <v>280</v>
      </c>
      <c r="D23" s="1"/>
      <c r="E23" s="1"/>
      <c r="F23" s="367">
        <f>D21+E21+F21+G21+H21</f>
        <v>26199.81</v>
      </c>
      <c r="G23" s="367"/>
      <c r="H23" s="1"/>
      <c r="I23" s="365"/>
      <c r="J23" s="365" t="s">
        <v>281</v>
      </c>
      <c r="K23" s="365"/>
      <c r="L23" s="365"/>
      <c r="M23" s="368">
        <f>'[1]Cash book'!I47</f>
        <v>8106.8600000000006</v>
      </c>
      <c r="N23" s="2"/>
      <c r="O23" s="1"/>
      <c r="P23" s="1"/>
    </row>
    <row r="24" spans="1:16" ht="13" thickBot="1" x14ac:dyDescent="0.3">
      <c r="A24" s="308"/>
      <c r="B24" s="1"/>
      <c r="C24" s="1" t="s">
        <v>282</v>
      </c>
      <c r="D24" s="1"/>
      <c r="F24" s="369">
        <f>F23</f>
        <v>26199.81</v>
      </c>
      <c r="G24" s="1"/>
      <c r="H24" s="1"/>
      <c r="I24" s="365"/>
      <c r="J24" s="365"/>
      <c r="K24" s="365"/>
      <c r="L24" s="365"/>
      <c r="M24" s="370">
        <f>+M21-M23</f>
        <v>77875.06</v>
      </c>
      <c r="N24" s="371"/>
      <c r="O24" s="1"/>
      <c r="P24" s="1"/>
    </row>
    <row r="25" spans="1:16" ht="13" thickTop="1" x14ac:dyDescent="0.25">
      <c r="A25" s="30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1"/>
      <c r="P25" s="1"/>
    </row>
    <row r="26" spans="1:16" x14ac:dyDescent="0.25">
      <c r="A26" s="308"/>
      <c r="B26" s="1"/>
      <c r="C26" s="1"/>
      <c r="D26" s="1"/>
      <c r="E26" s="1"/>
      <c r="F26" s="1"/>
      <c r="G26" s="1"/>
      <c r="H26" s="372" t="s">
        <v>283</v>
      </c>
      <c r="I26" s="373">
        <v>22846.26</v>
      </c>
      <c r="J26" s="1"/>
      <c r="K26" s="1"/>
      <c r="L26" s="1"/>
      <c r="M26" s="1"/>
      <c r="N26" s="1"/>
      <c r="O26" s="1"/>
      <c r="P26" s="1"/>
    </row>
    <row r="27" spans="1:16" x14ac:dyDescent="0.25">
      <c r="A27" s="308"/>
      <c r="B27" s="1"/>
      <c r="C27" s="1"/>
      <c r="D27" s="1"/>
      <c r="E27" s="1"/>
      <c r="F27" s="1"/>
      <c r="G27" s="1"/>
      <c r="H27" s="372" t="s">
        <v>284</v>
      </c>
      <c r="I27" s="373">
        <v>55053.8</v>
      </c>
      <c r="J27" s="1"/>
      <c r="K27" s="1"/>
      <c r="L27" s="1"/>
      <c r="M27" s="1"/>
      <c r="N27" s="1"/>
      <c r="O27" s="1"/>
      <c r="P27" s="1"/>
    </row>
    <row r="28" spans="1:16" x14ac:dyDescent="0.25">
      <c r="A28" s="308"/>
      <c r="B28" s="1"/>
      <c r="C28" s="1"/>
      <c r="D28" s="1"/>
      <c r="E28" s="1"/>
      <c r="F28" s="1"/>
      <c r="G28" s="1"/>
      <c r="H28" s="372" t="s">
        <v>285</v>
      </c>
      <c r="I28" s="374">
        <v>-25</v>
      </c>
      <c r="J28" s="1"/>
      <c r="K28" s="1"/>
      <c r="L28" s="1"/>
      <c r="M28" s="1"/>
      <c r="N28" s="1"/>
      <c r="O28" s="1"/>
      <c r="P28" s="1"/>
    </row>
    <row r="29" spans="1:16" x14ac:dyDescent="0.25">
      <c r="A29" s="308"/>
      <c r="B29" s="1"/>
      <c r="C29" s="1"/>
      <c r="D29" s="1"/>
      <c r="E29" s="1"/>
      <c r="F29" s="1"/>
      <c r="G29" s="1"/>
      <c r="H29" s="372"/>
      <c r="I29" s="373"/>
      <c r="J29" s="1"/>
      <c r="K29" s="1"/>
      <c r="L29" s="1"/>
      <c r="M29" s="1"/>
      <c r="N29" s="1"/>
      <c r="O29" s="1"/>
      <c r="P29" s="1"/>
    </row>
    <row r="30" spans="1:16" x14ac:dyDescent="0.25">
      <c r="A30" s="308"/>
      <c r="B30" s="1"/>
      <c r="C30" s="1"/>
      <c r="D30" s="1"/>
      <c r="E30" s="1"/>
      <c r="F30" s="1"/>
      <c r="J30" s="1"/>
      <c r="K30" s="1"/>
      <c r="L30" s="1"/>
      <c r="M30" s="1"/>
      <c r="N30" s="1"/>
      <c r="O30" s="1"/>
      <c r="P30" s="1"/>
    </row>
    <row r="31" spans="1:16" x14ac:dyDescent="0.25">
      <c r="A31" s="308"/>
      <c r="B31" s="1"/>
      <c r="C31" s="1"/>
      <c r="D31" s="1"/>
      <c r="E31" s="1"/>
      <c r="F31" s="1"/>
      <c r="G31" s="1"/>
      <c r="H31" s="1"/>
      <c r="I31" s="17"/>
      <c r="J31" s="1"/>
      <c r="K31" s="1"/>
      <c r="L31" s="1"/>
      <c r="M31" s="1"/>
      <c r="N31" s="1"/>
      <c r="O31" s="1"/>
      <c r="P31" s="1"/>
    </row>
    <row r="32" spans="1:16" ht="13" thickBot="1" x14ac:dyDescent="0.3">
      <c r="A32" s="308"/>
      <c r="B32" s="1"/>
      <c r="C32" s="1"/>
      <c r="D32" s="1"/>
      <c r="E32" s="1"/>
      <c r="F32" s="1" t="s">
        <v>286</v>
      </c>
      <c r="G32" s="1"/>
      <c r="H32" s="1"/>
      <c r="I32" s="324">
        <f>+I26+I27+I28</f>
        <v>77875.06</v>
      </c>
      <c r="J32" s="373">
        <f>SUM(I32-M24)</f>
        <v>0</v>
      </c>
      <c r="K32" s="375"/>
      <c r="L32" s="1"/>
      <c r="M32" s="1"/>
      <c r="N32" s="1"/>
      <c r="O32" s="1"/>
      <c r="P32" s="1"/>
    </row>
    <row r="33" spans="1:16" ht="13" thickTop="1" x14ac:dyDescent="0.25">
      <c r="A33" s="30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30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309" t="s">
        <v>18</v>
      </c>
      <c r="B35" s="310" t="s">
        <v>262</v>
      </c>
      <c r="C35" s="311" t="s">
        <v>23</v>
      </c>
      <c r="D35" s="312"/>
      <c r="E35" s="313"/>
      <c r="F35" s="313" t="s">
        <v>263</v>
      </c>
      <c r="G35" s="313"/>
      <c r="H35" s="314"/>
      <c r="I35" s="315"/>
      <c r="J35" s="315" t="s">
        <v>264</v>
      </c>
      <c r="K35" s="315"/>
      <c r="L35" s="314"/>
      <c r="M35" s="316" t="s">
        <v>265</v>
      </c>
      <c r="N35" s="1"/>
      <c r="O35" s="1"/>
      <c r="P35" s="1"/>
    </row>
    <row r="36" spans="1:16" x14ac:dyDescent="0.25">
      <c r="A36" s="376"/>
      <c r="B36" s="377" t="s">
        <v>266</v>
      </c>
      <c r="C36" s="378" t="s">
        <v>287</v>
      </c>
      <c r="D36" s="377" t="s">
        <v>267</v>
      </c>
      <c r="E36" s="377" t="s">
        <v>268</v>
      </c>
      <c r="F36" s="377" t="s">
        <v>269</v>
      </c>
      <c r="G36" s="377" t="s">
        <v>4</v>
      </c>
      <c r="H36" s="379" t="s">
        <v>31</v>
      </c>
      <c r="I36" s="310" t="s">
        <v>270</v>
      </c>
      <c r="J36" s="310" t="s">
        <v>288</v>
      </c>
      <c r="K36" s="310" t="s">
        <v>272</v>
      </c>
      <c r="L36" s="319" t="s">
        <v>273</v>
      </c>
      <c r="M36" s="380"/>
      <c r="N36" s="1"/>
      <c r="O36" s="1"/>
      <c r="P36" s="1"/>
    </row>
    <row r="37" spans="1:16" ht="13" x14ac:dyDescent="0.3">
      <c r="A37" s="321" t="s">
        <v>274</v>
      </c>
      <c r="B37" s="322"/>
      <c r="C37" s="323"/>
      <c r="D37" s="322"/>
      <c r="E37" s="322"/>
      <c r="F37" s="322"/>
      <c r="G37" s="322"/>
      <c r="H37" s="322"/>
      <c r="I37" s="322"/>
      <c r="J37" s="322"/>
      <c r="K37" s="322"/>
      <c r="L37" s="322"/>
      <c r="M37" s="381">
        <f>M24</f>
        <v>77875.06</v>
      </c>
      <c r="N37" s="1"/>
      <c r="O37" s="1"/>
      <c r="P37" s="1"/>
    </row>
    <row r="38" spans="1:16" x14ac:dyDescent="0.25">
      <c r="A38" s="81">
        <v>44396</v>
      </c>
      <c r="B38" s="326" t="s">
        <v>277</v>
      </c>
      <c r="C38" s="327" t="s">
        <v>4</v>
      </c>
      <c r="D38" s="328"/>
      <c r="E38" s="328"/>
      <c r="F38" s="329"/>
      <c r="G38" s="330">
        <v>546.92999999999995</v>
      </c>
      <c r="H38" s="331"/>
      <c r="I38" s="332">
        <v>546.92999999999995</v>
      </c>
      <c r="J38" s="382"/>
      <c r="K38" s="382"/>
      <c r="L38" s="338"/>
      <c r="M38" s="70">
        <f t="shared" ref="M38:M43" si="2">+SUM(I38:L38)</f>
        <v>546.92999999999995</v>
      </c>
      <c r="N38" s="1"/>
      <c r="O38" s="1"/>
      <c r="P38" s="1"/>
    </row>
    <row r="39" spans="1:16" x14ac:dyDescent="0.25">
      <c r="A39" s="81">
        <v>44396</v>
      </c>
      <c r="B39" s="326" t="s">
        <v>289</v>
      </c>
      <c r="C39" s="327" t="s">
        <v>290</v>
      </c>
      <c r="D39" s="328"/>
      <c r="E39" s="328"/>
      <c r="F39" s="329">
        <v>7764.33</v>
      </c>
      <c r="G39" s="330"/>
      <c r="H39" s="331"/>
      <c r="I39" s="332">
        <v>7764.33</v>
      </c>
      <c r="J39" s="231"/>
      <c r="K39" s="231"/>
      <c r="L39" s="338"/>
      <c r="M39" s="70">
        <f t="shared" si="2"/>
        <v>7764.33</v>
      </c>
      <c r="N39" s="1"/>
      <c r="O39" s="1"/>
      <c r="P39" s="1"/>
    </row>
    <row r="40" spans="1:16" x14ac:dyDescent="0.25">
      <c r="A40" s="81">
        <v>44400</v>
      </c>
      <c r="B40" s="335" t="s">
        <v>289</v>
      </c>
      <c r="C40" s="336" t="s">
        <v>291</v>
      </c>
      <c r="D40" s="337"/>
      <c r="E40" s="337"/>
      <c r="F40" s="333">
        <v>1000</v>
      </c>
      <c r="G40" s="333"/>
      <c r="H40" s="338"/>
      <c r="I40" s="333">
        <v>1000</v>
      </c>
      <c r="J40" s="383"/>
      <c r="K40" s="384"/>
      <c r="L40" s="342"/>
      <c r="M40" s="70">
        <f t="shared" si="2"/>
        <v>1000</v>
      </c>
      <c r="N40" s="1"/>
      <c r="O40" s="1"/>
      <c r="P40" s="1"/>
    </row>
    <row r="41" spans="1:16" x14ac:dyDescent="0.25">
      <c r="A41" s="81">
        <v>44442</v>
      </c>
      <c r="B41" s="65" t="s">
        <v>289</v>
      </c>
      <c r="C41" s="44" t="s">
        <v>292</v>
      </c>
      <c r="D41" s="72"/>
      <c r="E41" s="383"/>
      <c r="F41" s="219">
        <v>2370</v>
      </c>
      <c r="G41" s="219"/>
      <c r="H41" s="338"/>
      <c r="I41" s="383">
        <v>2370</v>
      </c>
      <c r="J41" s="219"/>
      <c r="K41" s="385"/>
      <c r="L41" s="338"/>
      <c r="M41" s="70">
        <f t="shared" si="2"/>
        <v>2370</v>
      </c>
      <c r="N41" s="1"/>
      <c r="O41" s="1"/>
      <c r="P41" s="1"/>
    </row>
    <row r="42" spans="1:16" x14ac:dyDescent="0.25">
      <c r="A42" s="81"/>
      <c r="B42" s="65"/>
      <c r="C42" s="44"/>
      <c r="D42" s="386"/>
      <c r="E42" s="387"/>
      <c r="F42" s="219"/>
      <c r="G42" s="219"/>
      <c r="H42" s="338"/>
      <c r="I42" s="383"/>
      <c r="J42" s="219"/>
      <c r="K42" s="385"/>
      <c r="L42" s="338"/>
      <c r="M42" s="70">
        <f t="shared" si="2"/>
        <v>0</v>
      </c>
      <c r="N42" s="1"/>
      <c r="O42" s="1"/>
      <c r="P42" s="1"/>
    </row>
    <row r="43" spans="1:16" x14ac:dyDescent="0.25">
      <c r="A43" s="81"/>
      <c r="B43" s="72"/>
      <c r="C43" s="345"/>
      <c r="D43" s="337"/>
      <c r="E43" s="337"/>
      <c r="F43" s="333"/>
      <c r="G43" s="333"/>
      <c r="H43" s="338"/>
      <c r="I43" s="333"/>
      <c r="J43" s="333"/>
      <c r="K43" s="341"/>
      <c r="L43" s="338"/>
      <c r="M43" s="70">
        <f t="shared" si="2"/>
        <v>0</v>
      </c>
      <c r="N43" s="1"/>
      <c r="O43" s="1"/>
      <c r="P43" s="1"/>
    </row>
    <row r="44" spans="1:16" x14ac:dyDescent="0.25">
      <c r="A44" s="81"/>
      <c r="B44" s="72"/>
      <c r="C44" s="388"/>
      <c r="D44" s="72"/>
      <c r="E44" s="387"/>
      <c r="F44" s="387"/>
      <c r="G44" s="219"/>
      <c r="H44" s="338"/>
      <c r="I44" s="383"/>
      <c r="J44" s="383"/>
      <c r="K44" s="384"/>
      <c r="L44" s="338"/>
      <c r="M44" s="70">
        <f t="shared" ref="M44:M49" si="3">+SUM(I44:L44)</f>
        <v>0</v>
      </c>
      <c r="N44" s="1"/>
      <c r="O44" s="1"/>
      <c r="P44" s="1"/>
    </row>
    <row r="45" spans="1:16" x14ac:dyDescent="0.25">
      <c r="A45" s="81"/>
      <c r="B45" s="72"/>
      <c r="C45" s="388"/>
      <c r="D45" s="72"/>
      <c r="E45" s="72"/>
      <c r="F45" s="387"/>
      <c r="G45" s="219"/>
      <c r="H45" s="338"/>
      <c r="I45" s="347"/>
      <c r="J45" s="347"/>
      <c r="K45" s="348"/>
      <c r="L45" s="338"/>
      <c r="M45" s="70">
        <f t="shared" si="3"/>
        <v>0</v>
      </c>
      <c r="N45" s="1"/>
      <c r="O45" s="1"/>
      <c r="P45" s="1"/>
    </row>
    <row r="46" spans="1:16" x14ac:dyDescent="0.25">
      <c r="A46" s="81"/>
      <c r="B46" s="72"/>
      <c r="C46" s="388"/>
      <c r="D46" s="72"/>
      <c r="E46" s="72"/>
      <c r="F46" s="387"/>
      <c r="G46" s="219"/>
      <c r="H46" s="338"/>
      <c r="I46" s="383"/>
      <c r="J46" s="383"/>
      <c r="K46" s="384"/>
      <c r="L46" s="338"/>
      <c r="M46" s="70">
        <f t="shared" si="3"/>
        <v>0</v>
      </c>
      <c r="N46" s="1"/>
      <c r="O46" s="1"/>
      <c r="P46" s="1"/>
    </row>
    <row r="47" spans="1:16" x14ac:dyDescent="0.25">
      <c r="A47" s="81"/>
      <c r="B47" s="72"/>
      <c r="C47" s="388"/>
      <c r="D47" s="72"/>
      <c r="E47" s="72"/>
      <c r="F47" s="389"/>
      <c r="G47" s="219"/>
      <c r="H47" s="338"/>
      <c r="I47" s="383"/>
      <c r="J47" s="383"/>
      <c r="K47" s="384"/>
      <c r="L47" s="338"/>
      <c r="M47" s="70">
        <f t="shared" si="3"/>
        <v>0</v>
      </c>
      <c r="N47" s="1"/>
      <c r="O47" s="1"/>
      <c r="P47" s="1"/>
    </row>
    <row r="48" spans="1:16" x14ac:dyDescent="0.25">
      <c r="A48" s="81"/>
      <c r="B48" s="72"/>
      <c r="C48" s="388"/>
      <c r="D48" s="72"/>
      <c r="E48" s="72"/>
      <c r="F48" s="141"/>
      <c r="G48" s="219"/>
      <c r="H48" s="338"/>
      <c r="I48" s="383"/>
      <c r="J48" s="383"/>
      <c r="K48" s="384"/>
      <c r="L48" s="338"/>
      <c r="M48" s="70">
        <f t="shared" si="3"/>
        <v>0</v>
      </c>
      <c r="N48" s="1"/>
      <c r="O48" s="1"/>
      <c r="P48" s="1"/>
    </row>
    <row r="49" spans="1:16" ht="13" thickBot="1" x14ac:dyDescent="0.3">
      <c r="A49" s="390"/>
      <c r="B49" s="141"/>
      <c r="C49" s="141"/>
      <c r="D49" s="141"/>
      <c r="E49" s="141"/>
      <c r="F49" s="141"/>
      <c r="G49" s="219"/>
      <c r="H49" s="338"/>
      <c r="I49" s="387"/>
      <c r="J49" s="383"/>
      <c r="K49" s="384"/>
      <c r="L49" s="338"/>
      <c r="M49" s="70">
        <f t="shared" si="3"/>
        <v>0</v>
      </c>
      <c r="N49" s="1"/>
      <c r="O49" s="1"/>
      <c r="P49" s="1"/>
    </row>
    <row r="50" spans="1:16" ht="13.5" thickTop="1" thickBot="1" x14ac:dyDescent="0.3">
      <c r="A50" s="356"/>
      <c r="B50" s="357"/>
      <c r="C50" s="358"/>
      <c r="D50" s="359">
        <f>+SUM(D39:D48)</f>
        <v>0</v>
      </c>
      <c r="E50" s="359">
        <f>+SUM(E38:E48)</f>
        <v>0</v>
      </c>
      <c r="F50" s="359">
        <f>+SUM(F37:F48)</f>
        <v>11134.33</v>
      </c>
      <c r="G50" s="359">
        <f>+SUM(G37:G48)</f>
        <v>546.92999999999995</v>
      </c>
      <c r="H50" s="359">
        <f>+SUM(H38:H48)</f>
        <v>0</v>
      </c>
      <c r="I50" s="361">
        <f>+SUM(I37:I48)</f>
        <v>11681.26</v>
      </c>
      <c r="J50" s="361">
        <f>+SUM(J37:J48)</f>
        <v>0</v>
      </c>
      <c r="K50" s="362"/>
      <c r="L50" s="363">
        <f>+SUM(L37:L48)</f>
        <v>0</v>
      </c>
      <c r="M50" s="364">
        <f>SUM(M36:M49)</f>
        <v>89556.319999999992</v>
      </c>
      <c r="N50" s="1"/>
      <c r="O50" s="1"/>
      <c r="P50" s="1"/>
    </row>
    <row r="51" spans="1:16" ht="13" thickTop="1" x14ac:dyDescent="0.25">
      <c r="A51" s="308"/>
      <c r="B51" s="1"/>
      <c r="C51" s="1"/>
      <c r="D51" s="1"/>
      <c r="E51" s="1"/>
      <c r="F51" s="1"/>
      <c r="G51" s="1"/>
      <c r="H51" s="1"/>
      <c r="I51" s="365"/>
      <c r="J51" s="365"/>
      <c r="K51" s="365"/>
      <c r="L51" s="365"/>
      <c r="M51" s="366"/>
      <c r="N51" s="1"/>
      <c r="O51" s="1"/>
      <c r="P51" s="1"/>
    </row>
    <row r="52" spans="1:16" x14ac:dyDescent="0.25">
      <c r="A52" s="308"/>
      <c r="B52" s="1"/>
      <c r="C52" s="1" t="s">
        <v>280</v>
      </c>
      <c r="D52" s="1"/>
      <c r="E52" s="1"/>
      <c r="F52" s="391">
        <f>D50+E50+F50+G50+H50</f>
        <v>11681.26</v>
      </c>
      <c r="G52" s="391"/>
      <c r="H52" s="1"/>
      <c r="I52" s="365"/>
      <c r="J52" s="365" t="s">
        <v>293</v>
      </c>
      <c r="K52" s="365"/>
      <c r="L52" s="365"/>
      <c r="M52" s="368">
        <f>'[1]Cash book'!I85</f>
        <v>83064.849999999991</v>
      </c>
      <c r="N52" s="1"/>
      <c r="O52" s="1"/>
      <c r="P52" s="1"/>
    </row>
    <row r="53" spans="1:16" ht="13" thickBot="1" x14ac:dyDescent="0.3">
      <c r="A53" s="308"/>
      <c r="B53" s="1"/>
      <c r="C53" s="1" t="s">
        <v>282</v>
      </c>
      <c r="D53" s="1"/>
      <c r="E53" s="1"/>
      <c r="F53" s="392">
        <f>F52+F24</f>
        <v>37881.07</v>
      </c>
      <c r="G53" s="1"/>
      <c r="H53" s="1"/>
      <c r="I53" s="365"/>
      <c r="J53" s="365"/>
      <c r="K53" s="365"/>
      <c r="L53" s="365"/>
      <c r="M53" s="370">
        <f>+M50-M52</f>
        <v>6491.4700000000012</v>
      </c>
      <c r="N53" s="1"/>
      <c r="O53" s="1"/>
      <c r="P53" s="1"/>
    </row>
    <row r="54" spans="1:16" ht="13" thickTop="1" x14ac:dyDescent="0.25">
      <c r="A54" s="30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308"/>
      <c r="B55" s="1"/>
      <c r="C55" s="1"/>
      <c r="D55" s="1"/>
      <c r="E55" s="1"/>
      <c r="F55" s="1"/>
      <c r="G55" s="1"/>
      <c r="H55" s="372" t="s">
        <v>283</v>
      </c>
      <c r="I55" s="374">
        <v>46849.67</v>
      </c>
      <c r="J55" s="1"/>
      <c r="K55" s="1"/>
      <c r="L55" s="1"/>
      <c r="M55" s="1"/>
      <c r="N55" s="1"/>
      <c r="O55" s="1"/>
      <c r="P55" s="1"/>
    </row>
    <row r="56" spans="1:16" x14ac:dyDescent="0.25">
      <c r="A56" s="308"/>
      <c r="B56" s="1"/>
      <c r="C56" s="1"/>
      <c r="D56" s="1"/>
      <c r="E56" s="1"/>
      <c r="F56" s="1"/>
      <c r="G56" s="1"/>
      <c r="H56" s="372" t="s">
        <v>294</v>
      </c>
      <c r="I56" s="393">
        <v>53.8</v>
      </c>
      <c r="J56" s="1"/>
      <c r="K56" s="1"/>
      <c r="L56" s="1"/>
      <c r="M56" s="1"/>
      <c r="N56" s="1"/>
      <c r="O56" s="1"/>
      <c r="P56" s="1"/>
    </row>
    <row r="57" spans="1:16" x14ac:dyDescent="0.25">
      <c r="A57" s="308"/>
      <c r="B57" s="1"/>
      <c r="C57" s="1"/>
      <c r="D57" s="1"/>
      <c r="E57" s="1"/>
      <c r="F57" s="1"/>
      <c r="G57" s="1"/>
      <c r="H57" s="372"/>
      <c r="I57" s="373"/>
      <c r="J57" s="1"/>
      <c r="K57" s="1"/>
      <c r="L57" s="394"/>
      <c r="M57" s="1"/>
      <c r="N57" s="1"/>
      <c r="O57" s="1"/>
      <c r="P57" s="1"/>
    </row>
    <row r="58" spans="1:16" x14ac:dyDescent="0.25">
      <c r="A58" s="308"/>
      <c r="B58" s="1"/>
      <c r="C58" s="1"/>
      <c r="D58" s="1"/>
      <c r="E58" s="1"/>
      <c r="F58" s="1"/>
      <c r="G58" s="1"/>
      <c r="H58" s="372"/>
      <c r="I58" s="373"/>
      <c r="J58" s="1"/>
      <c r="K58" s="1"/>
      <c r="L58" s="1"/>
      <c r="M58" s="1"/>
      <c r="N58" s="1"/>
      <c r="O58" s="1"/>
      <c r="P58" s="1"/>
    </row>
    <row r="59" spans="1:16" x14ac:dyDescent="0.25">
      <c r="A59" s="308"/>
      <c r="B59" s="1"/>
      <c r="C59" s="1"/>
      <c r="D59" s="1"/>
      <c r="E59" s="1"/>
      <c r="F59" s="1"/>
      <c r="G59" s="1" t="s">
        <v>285</v>
      </c>
      <c r="H59" s="1"/>
      <c r="I59" s="395">
        <v>-40412</v>
      </c>
      <c r="J59" s="373">
        <f>SUM(I61-M53)</f>
        <v>0</v>
      </c>
      <c r="K59" s="1"/>
      <c r="L59" s="394"/>
      <c r="M59" s="1"/>
      <c r="N59" s="1"/>
      <c r="O59" s="1"/>
      <c r="P59" s="1"/>
    </row>
    <row r="60" spans="1:16" x14ac:dyDescent="0.25">
      <c r="A60" s="308"/>
      <c r="B60" s="1"/>
      <c r="C60" s="1"/>
      <c r="D60" s="1"/>
      <c r="E60" s="1"/>
      <c r="F60" s="1"/>
      <c r="G60" s="1"/>
      <c r="H60" s="1"/>
      <c r="I60" s="17"/>
      <c r="J60" s="1"/>
      <c r="K60" s="1"/>
      <c r="L60" s="1"/>
      <c r="M60" s="1"/>
      <c r="N60" s="1"/>
      <c r="O60" s="1"/>
      <c r="P60" s="1"/>
    </row>
    <row r="61" spans="1:16" ht="13" thickBot="1" x14ac:dyDescent="0.3">
      <c r="A61" s="308"/>
      <c r="B61" s="1"/>
      <c r="C61" s="1"/>
      <c r="D61" s="1"/>
      <c r="E61" s="1"/>
      <c r="F61" s="1" t="s">
        <v>295</v>
      </c>
      <c r="G61" s="1"/>
      <c r="H61" s="1"/>
      <c r="I61" s="324">
        <f>+I55+I56+I57+I58+I59</f>
        <v>6491.4700000000012</v>
      </c>
      <c r="J61" s="1"/>
      <c r="K61" s="1"/>
      <c r="L61" s="1"/>
      <c r="M61" s="1"/>
      <c r="N61" s="1"/>
      <c r="O61" s="1"/>
      <c r="P61" s="1"/>
    </row>
    <row r="62" spans="1:16" ht="13" thickTop="1" x14ac:dyDescent="0.25">
      <c r="A62" s="30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309" t="s">
        <v>18</v>
      </c>
      <c r="B63" s="310" t="s">
        <v>262</v>
      </c>
      <c r="C63" s="311" t="s">
        <v>23</v>
      </c>
      <c r="D63" s="312"/>
      <c r="E63" s="313"/>
      <c r="F63" s="313" t="s">
        <v>263</v>
      </c>
      <c r="G63" s="313"/>
      <c r="H63" s="314"/>
      <c r="I63" s="315"/>
      <c r="J63" s="315" t="s">
        <v>264</v>
      </c>
      <c r="K63" s="315"/>
      <c r="L63" s="314"/>
      <c r="M63" s="316" t="s">
        <v>265</v>
      </c>
      <c r="N63" s="1"/>
      <c r="O63" s="1"/>
      <c r="P63" s="1"/>
    </row>
    <row r="64" spans="1:16" x14ac:dyDescent="0.25">
      <c r="A64" s="376"/>
      <c r="B64" s="377" t="s">
        <v>266</v>
      </c>
      <c r="C64" s="378" t="s">
        <v>287</v>
      </c>
      <c r="D64" s="377" t="s">
        <v>267</v>
      </c>
      <c r="E64" s="377" t="s">
        <v>268</v>
      </c>
      <c r="F64" s="377" t="s">
        <v>269</v>
      </c>
      <c r="G64" s="377" t="s">
        <v>4</v>
      </c>
      <c r="H64" s="379" t="s">
        <v>31</v>
      </c>
      <c r="I64" s="310" t="s">
        <v>270</v>
      </c>
      <c r="J64" s="310" t="s">
        <v>288</v>
      </c>
      <c r="K64" s="310" t="s">
        <v>272</v>
      </c>
      <c r="L64" s="319" t="s">
        <v>273</v>
      </c>
      <c r="M64" s="380"/>
      <c r="N64" s="1"/>
      <c r="O64" s="1"/>
      <c r="P64" s="1"/>
    </row>
    <row r="65" spans="1:16" ht="13" x14ac:dyDescent="0.3">
      <c r="A65" s="321" t="s">
        <v>274</v>
      </c>
      <c r="B65" s="322"/>
      <c r="C65" s="323"/>
      <c r="D65" s="322"/>
      <c r="E65" s="322"/>
      <c r="F65" s="322"/>
      <c r="G65" s="322"/>
      <c r="H65" s="322"/>
      <c r="I65" s="322"/>
      <c r="J65" s="322"/>
      <c r="K65" s="322"/>
      <c r="L65" s="322"/>
      <c r="M65" s="381">
        <f>M53</f>
        <v>6491.4700000000012</v>
      </c>
      <c r="N65" s="1"/>
      <c r="O65" s="1"/>
      <c r="P65" s="1"/>
    </row>
    <row r="66" spans="1:16" x14ac:dyDescent="0.25">
      <c r="A66" s="81">
        <v>44474</v>
      </c>
      <c r="B66" s="326" t="s">
        <v>278</v>
      </c>
      <c r="C66" s="327" t="s">
        <v>279</v>
      </c>
      <c r="D66" s="328"/>
      <c r="E66" s="328">
        <v>7.8</v>
      </c>
      <c r="F66" s="329"/>
      <c r="G66" s="329"/>
      <c r="H66" s="396"/>
      <c r="I66" s="332"/>
      <c r="J66" s="349">
        <v>7.8</v>
      </c>
      <c r="K66" s="397"/>
      <c r="L66" s="338"/>
      <c r="M66" s="70">
        <f>+SUM(I66:L66)</f>
        <v>7.8</v>
      </c>
      <c r="N66" s="1"/>
      <c r="O66" s="1"/>
      <c r="P66" s="1"/>
    </row>
    <row r="67" spans="1:16" x14ac:dyDescent="0.25">
      <c r="A67" s="81">
        <v>44477</v>
      </c>
      <c r="B67" s="326" t="s">
        <v>277</v>
      </c>
      <c r="C67" s="327" t="s">
        <v>4</v>
      </c>
      <c r="D67" s="337"/>
      <c r="E67" s="398"/>
      <c r="F67" s="399"/>
      <c r="G67" s="399">
        <v>13196.83</v>
      </c>
      <c r="H67" s="400"/>
      <c r="I67" s="333">
        <v>13196.83</v>
      </c>
      <c r="J67" s="383"/>
      <c r="K67" s="384"/>
      <c r="L67" s="338"/>
      <c r="M67" s="70">
        <f>+SUM(I67:L67)</f>
        <v>13196.83</v>
      </c>
      <c r="N67" s="1"/>
      <c r="O67" s="1"/>
      <c r="P67" s="1"/>
    </row>
    <row r="68" spans="1:16" x14ac:dyDescent="0.25">
      <c r="A68" s="81">
        <v>44489</v>
      </c>
      <c r="B68" s="335" t="s">
        <v>289</v>
      </c>
      <c r="C68" s="336" t="s">
        <v>296</v>
      </c>
      <c r="D68" s="337"/>
      <c r="E68" s="398"/>
      <c r="F68" s="399">
        <v>6700</v>
      </c>
      <c r="G68" s="399"/>
      <c r="H68" s="400"/>
      <c r="I68" s="333">
        <v>6700</v>
      </c>
      <c r="J68" s="333"/>
      <c r="K68" s="341"/>
      <c r="L68" s="338"/>
      <c r="M68" s="70">
        <f>+SUM(I68:L68)</f>
        <v>6700</v>
      </c>
      <c r="N68" s="1"/>
      <c r="O68" s="1"/>
      <c r="P68" s="1"/>
    </row>
    <row r="69" spans="1:16" x14ac:dyDescent="0.25">
      <c r="A69" s="81">
        <v>44494</v>
      </c>
      <c r="B69" s="335" t="s">
        <v>297</v>
      </c>
      <c r="C69" s="336" t="s">
        <v>298</v>
      </c>
      <c r="D69" s="388"/>
      <c r="E69" s="282"/>
      <c r="F69" s="401"/>
      <c r="G69" s="402"/>
      <c r="H69" s="400">
        <v>175</v>
      </c>
      <c r="I69" s="389">
        <v>175</v>
      </c>
      <c r="J69" s="333"/>
      <c r="K69" s="341"/>
      <c r="L69" s="338"/>
      <c r="M69" s="70">
        <f>+SUM(I69:L69)</f>
        <v>175</v>
      </c>
      <c r="N69" s="1"/>
      <c r="O69" s="1"/>
      <c r="P69" s="1"/>
    </row>
    <row r="70" spans="1:16" x14ac:dyDescent="0.25">
      <c r="A70" s="81">
        <v>44497</v>
      </c>
      <c r="B70" s="65" t="s">
        <v>289</v>
      </c>
      <c r="C70" s="336" t="s">
        <v>299</v>
      </c>
      <c r="D70" s="337"/>
      <c r="E70" s="398"/>
      <c r="F70" s="399">
        <v>30445</v>
      </c>
      <c r="G70" s="399"/>
      <c r="H70" s="400"/>
      <c r="I70" s="344">
        <v>30445</v>
      </c>
      <c r="J70" s="333"/>
      <c r="K70" s="341"/>
      <c r="L70" s="338"/>
      <c r="M70" s="70">
        <f t="shared" ref="M70:M76" si="4">+SUM(I70:L70)</f>
        <v>30445</v>
      </c>
      <c r="N70" s="1"/>
      <c r="O70" s="1"/>
      <c r="P70" s="1"/>
    </row>
    <row r="71" spans="1:16" x14ac:dyDescent="0.25">
      <c r="A71" s="81">
        <v>44538</v>
      </c>
      <c r="B71" s="65" t="s">
        <v>300</v>
      </c>
      <c r="C71" s="345" t="s">
        <v>301</v>
      </c>
      <c r="D71" s="337"/>
      <c r="E71" s="398"/>
      <c r="F71" s="399">
        <v>250</v>
      </c>
      <c r="G71" s="399"/>
      <c r="H71" s="400"/>
      <c r="I71" s="333">
        <v>250</v>
      </c>
      <c r="J71" s="333"/>
      <c r="K71" s="341"/>
      <c r="L71" s="338"/>
      <c r="M71" s="70">
        <f t="shared" si="4"/>
        <v>250</v>
      </c>
      <c r="N71" s="1"/>
      <c r="O71" s="1"/>
      <c r="P71" s="1"/>
    </row>
    <row r="72" spans="1:16" x14ac:dyDescent="0.25">
      <c r="A72" s="81">
        <v>44533</v>
      </c>
      <c r="B72" s="65" t="s">
        <v>289</v>
      </c>
      <c r="C72" s="345" t="s">
        <v>302</v>
      </c>
      <c r="D72" s="337"/>
      <c r="E72" s="398"/>
      <c r="F72" s="399">
        <v>250</v>
      </c>
      <c r="G72" s="399"/>
      <c r="H72" s="400"/>
      <c r="I72" s="347">
        <v>250</v>
      </c>
      <c r="J72" s="347"/>
      <c r="K72" s="348"/>
      <c r="L72" s="338"/>
      <c r="M72" s="70">
        <f t="shared" si="4"/>
        <v>250</v>
      </c>
      <c r="N72" s="1"/>
      <c r="O72" s="1"/>
      <c r="P72" s="1"/>
    </row>
    <row r="73" spans="1:16" x14ac:dyDescent="0.25">
      <c r="A73" s="81">
        <v>44518</v>
      </c>
      <c r="B73" s="65" t="s">
        <v>300</v>
      </c>
      <c r="C73" s="336" t="s">
        <v>303</v>
      </c>
      <c r="D73" s="337"/>
      <c r="E73" s="398"/>
      <c r="F73" s="399">
        <v>500</v>
      </c>
      <c r="G73" s="399"/>
      <c r="H73" s="400"/>
      <c r="I73" s="333">
        <v>500</v>
      </c>
      <c r="J73" s="333"/>
      <c r="K73" s="341"/>
      <c r="L73" s="338"/>
      <c r="M73" s="70">
        <f t="shared" si="4"/>
        <v>500</v>
      </c>
      <c r="N73" s="1"/>
      <c r="O73" s="1"/>
      <c r="P73" s="1"/>
    </row>
    <row r="74" spans="1:16" x14ac:dyDescent="0.25">
      <c r="A74" s="81">
        <v>44551</v>
      </c>
      <c r="B74" s="65" t="s">
        <v>289</v>
      </c>
      <c r="C74" s="345" t="s">
        <v>302</v>
      </c>
      <c r="D74" s="337"/>
      <c r="E74" s="398"/>
      <c r="F74" s="403">
        <v>750</v>
      </c>
      <c r="G74" s="399"/>
      <c r="H74" s="400"/>
      <c r="I74" s="333">
        <v>750</v>
      </c>
      <c r="J74" s="333"/>
      <c r="K74" s="341"/>
      <c r="L74" s="338"/>
      <c r="M74" s="70">
        <f t="shared" si="4"/>
        <v>750</v>
      </c>
      <c r="N74" s="1"/>
      <c r="O74" s="1"/>
      <c r="P74" s="1"/>
    </row>
    <row r="75" spans="1:16" x14ac:dyDescent="0.25">
      <c r="A75" s="81">
        <v>44559</v>
      </c>
      <c r="B75" s="65" t="s">
        <v>297</v>
      </c>
      <c r="C75" s="336" t="s">
        <v>304</v>
      </c>
      <c r="D75" s="337"/>
      <c r="E75" s="398"/>
      <c r="F75" s="403"/>
      <c r="G75" s="399"/>
      <c r="H75" s="400">
        <v>150</v>
      </c>
      <c r="I75" s="333">
        <v>150</v>
      </c>
      <c r="J75" s="333"/>
      <c r="K75" s="341"/>
      <c r="L75" s="338"/>
      <c r="M75" s="70">
        <f t="shared" si="4"/>
        <v>150</v>
      </c>
      <c r="N75" s="1"/>
      <c r="O75" s="1"/>
      <c r="P75" s="1"/>
    </row>
    <row r="76" spans="1:16" ht="13" thickBot="1" x14ac:dyDescent="0.3">
      <c r="A76" s="390"/>
      <c r="B76" s="141"/>
      <c r="C76" s="349"/>
      <c r="D76" s="349"/>
      <c r="E76" s="403"/>
      <c r="F76" s="403"/>
      <c r="G76" s="399"/>
      <c r="H76" s="400"/>
      <c r="I76" s="333"/>
      <c r="J76" s="333"/>
      <c r="K76" s="341"/>
      <c r="L76" s="338"/>
      <c r="M76" s="70">
        <f t="shared" si="4"/>
        <v>0</v>
      </c>
      <c r="N76" s="1"/>
      <c r="O76" s="1"/>
      <c r="P76" s="1"/>
    </row>
    <row r="77" spans="1:16" ht="13.5" thickTop="1" thickBot="1" x14ac:dyDescent="0.3">
      <c r="A77" s="356"/>
      <c r="B77" s="357"/>
      <c r="C77" s="358"/>
      <c r="D77" s="359">
        <f>+SUM(D66:D75)</f>
        <v>0</v>
      </c>
      <c r="E77" s="359">
        <f>+SUM(E66:E75)</f>
        <v>7.8</v>
      </c>
      <c r="F77" s="359">
        <f>+SUM(F66:F75)</f>
        <v>38895</v>
      </c>
      <c r="G77" s="359">
        <f>+SUM(G66:G75)</f>
        <v>13196.83</v>
      </c>
      <c r="H77" s="359">
        <f>+SUM(H66:H75)</f>
        <v>325</v>
      </c>
      <c r="I77" s="361">
        <f>+SUM(I65:I75)</f>
        <v>52416.83</v>
      </c>
      <c r="J77" s="361">
        <f>+SUM(J65:J75)</f>
        <v>7.8</v>
      </c>
      <c r="K77" s="362"/>
      <c r="L77" s="363">
        <f>+SUM(L65:L75)</f>
        <v>0</v>
      </c>
      <c r="M77" s="364">
        <f>SUM(M64:M76)</f>
        <v>58916.100000000006</v>
      </c>
      <c r="N77" s="1"/>
      <c r="O77" s="1"/>
      <c r="P77" s="1"/>
    </row>
    <row r="78" spans="1:16" ht="13" thickTop="1" x14ac:dyDescent="0.25">
      <c r="A78" s="308"/>
      <c r="B78" s="1"/>
      <c r="C78" s="1"/>
      <c r="D78" s="1"/>
      <c r="E78" s="1"/>
      <c r="F78" s="1"/>
      <c r="G78" s="1"/>
      <c r="H78" s="1"/>
      <c r="I78" s="365"/>
      <c r="J78" s="365"/>
      <c r="K78" s="365"/>
      <c r="L78" s="365"/>
      <c r="M78" s="366"/>
      <c r="N78" s="1"/>
      <c r="O78" s="1"/>
      <c r="P78" s="1"/>
    </row>
    <row r="79" spans="1:16" x14ac:dyDescent="0.25">
      <c r="A79" s="308"/>
      <c r="B79" s="1"/>
      <c r="C79" s="1" t="s">
        <v>280</v>
      </c>
      <c r="D79" s="1"/>
      <c r="E79" s="1"/>
      <c r="F79" s="391">
        <f>D77+E77+F77+G77+H77</f>
        <v>52424.630000000005</v>
      </c>
      <c r="G79" s="391"/>
      <c r="H79" s="1"/>
      <c r="I79" s="365"/>
      <c r="J79" s="365" t="s">
        <v>305</v>
      </c>
      <c r="K79" s="365"/>
      <c r="L79" s="365"/>
      <c r="M79" s="368">
        <f>'[1]Cash book'!I146</f>
        <v>25569.9</v>
      </c>
      <c r="N79" s="1"/>
      <c r="O79" s="1"/>
      <c r="P79" s="1"/>
    </row>
    <row r="80" spans="1:16" ht="13" thickBot="1" x14ac:dyDescent="0.3">
      <c r="A80" s="308"/>
      <c r="B80" s="1"/>
      <c r="C80" s="1" t="s">
        <v>282</v>
      </c>
      <c r="D80" s="1"/>
      <c r="E80" s="1"/>
      <c r="F80" s="392">
        <f>F79+F53</f>
        <v>90305.700000000012</v>
      </c>
      <c r="G80" s="1"/>
      <c r="H80" s="1"/>
      <c r="I80" s="365"/>
      <c r="J80" s="365"/>
      <c r="K80" s="365"/>
      <c r="L80" s="365"/>
      <c r="M80" s="370">
        <f>+M77-M79</f>
        <v>33346.200000000004</v>
      </c>
      <c r="N80" s="1"/>
      <c r="O80" s="1"/>
      <c r="P80" s="1"/>
    </row>
    <row r="81" spans="1:16" ht="13" thickTop="1" x14ac:dyDescent="0.25">
      <c r="A81" s="30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308"/>
      <c r="B82" s="1"/>
      <c r="C82" s="1"/>
      <c r="D82" s="1"/>
      <c r="E82" s="1"/>
      <c r="F82" s="1"/>
      <c r="G82" s="1"/>
      <c r="H82" s="372" t="s">
        <v>283</v>
      </c>
      <c r="I82" s="373">
        <v>6893.6</v>
      </c>
      <c r="J82" s="1"/>
      <c r="K82" s="1"/>
      <c r="L82" s="1"/>
      <c r="M82" s="1"/>
      <c r="N82" s="1"/>
      <c r="O82" s="1"/>
      <c r="P82" s="1"/>
    </row>
    <row r="83" spans="1:16" x14ac:dyDescent="0.25">
      <c r="A83" s="308"/>
      <c r="B83" s="1"/>
      <c r="C83" s="1"/>
      <c r="D83" s="1"/>
      <c r="E83" s="1"/>
      <c r="F83" s="1"/>
      <c r="G83" s="1"/>
      <c r="H83" s="372" t="s">
        <v>294</v>
      </c>
      <c r="I83" s="373">
        <v>26664.6</v>
      </c>
      <c r="J83" s="1"/>
      <c r="K83" s="1"/>
      <c r="L83" s="1"/>
      <c r="M83" s="1"/>
      <c r="N83" s="1"/>
      <c r="O83" s="1"/>
      <c r="P83" s="1"/>
    </row>
    <row r="84" spans="1:16" x14ac:dyDescent="0.25">
      <c r="A84" s="308"/>
      <c r="B84" s="1"/>
      <c r="C84" s="1"/>
      <c r="D84" s="1"/>
      <c r="E84" s="1"/>
      <c r="F84" s="1"/>
      <c r="G84" s="1"/>
      <c r="H84" s="372"/>
      <c r="I84" s="373"/>
      <c r="J84" s="1"/>
      <c r="K84" s="1"/>
      <c r="L84" s="1"/>
      <c r="M84" s="1"/>
      <c r="N84" s="1"/>
      <c r="O84" s="1"/>
      <c r="P84" s="1"/>
    </row>
    <row r="85" spans="1:16" x14ac:dyDescent="0.25">
      <c r="A85" s="308"/>
      <c r="B85" s="1"/>
      <c r="C85" s="1"/>
      <c r="D85" s="1"/>
      <c r="E85" s="1"/>
      <c r="F85" s="1"/>
      <c r="I85" s="404"/>
      <c r="J85" s="1"/>
      <c r="K85" s="1"/>
      <c r="L85" s="1"/>
      <c r="M85" s="1"/>
      <c r="N85" s="1"/>
      <c r="O85" s="1"/>
      <c r="P85" s="1"/>
    </row>
    <row r="86" spans="1:16" x14ac:dyDescent="0.25">
      <c r="A86" s="308"/>
      <c r="B86" s="1"/>
      <c r="C86" s="1"/>
      <c r="D86" s="1"/>
      <c r="E86" s="1"/>
      <c r="F86" s="1"/>
      <c r="G86" s="1" t="s">
        <v>285</v>
      </c>
      <c r="H86" s="1"/>
      <c r="I86" s="1">
        <v>-212</v>
      </c>
      <c r="J86" s="1"/>
      <c r="K86" s="1"/>
      <c r="L86" s="373"/>
      <c r="M86" s="1"/>
      <c r="N86" s="1"/>
      <c r="O86" s="1"/>
      <c r="P86" s="1"/>
    </row>
    <row r="87" spans="1:16" ht="13" thickBot="1" x14ac:dyDescent="0.3">
      <c r="A87" s="308"/>
      <c r="B87" s="1"/>
      <c r="C87" s="1"/>
      <c r="D87" s="1"/>
      <c r="E87" s="1"/>
      <c r="F87" s="1" t="s">
        <v>306</v>
      </c>
      <c r="G87" s="1"/>
      <c r="H87" s="1"/>
      <c r="I87" s="324">
        <f>+I82+I83+I84+I86+I85</f>
        <v>33346.199999999997</v>
      </c>
      <c r="J87" s="1"/>
      <c r="K87" s="405"/>
      <c r="L87" s="1"/>
      <c r="M87" s="1"/>
      <c r="N87" s="1"/>
      <c r="O87" s="1"/>
      <c r="P87" s="1"/>
    </row>
    <row r="88" spans="1:16" ht="13" thickTop="1" x14ac:dyDescent="0.25">
      <c r="A88" s="308"/>
      <c r="B88" s="1"/>
      <c r="C88" s="1"/>
      <c r="D88" s="1"/>
      <c r="E88" s="1"/>
      <c r="F88" s="1"/>
      <c r="G88" s="1"/>
      <c r="H88" s="1"/>
      <c r="I88" s="366"/>
      <c r="J88" s="366"/>
      <c r="K88" s="366">
        <f>SUM(M80-I87)</f>
        <v>7.2759576141834259E-12</v>
      </c>
      <c r="L88" s="366"/>
      <c r="M88" s="366"/>
      <c r="N88" s="1"/>
      <c r="O88" s="1"/>
      <c r="P88" s="1"/>
    </row>
    <row r="89" spans="1:16" x14ac:dyDescent="0.25">
      <c r="A89" s="308"/>
      <c r="B89" s="1"/>
      <c r="C89" s="1"/>
      <c r="D89" s="1"/>
      <c r="E89" s="1"/>
      <c r="F89" s="1"/>
      <c r="G89" s="1"/>
      <c r="H89" s="1"/>
      <c r="I89" s="366"/>
      <c r="J89" s="366"/>
      <c r="K89" s="366"/>
      <c r="L89" s="366"/>
      <c r="M89" s="366"/>
      <c r="N89" s="1"/>
      <c r="O89" s="1"/>
      <c r="P89" s="1"/>
    </row>
    <row r="90" spans="1:16" x14ac:dyDescent="0.25">
      <c r="A90" s="309" t="s">
        <v>18</v>
      </c>
      <c r="B90" s="310" t="s">
        <v>262</v>
      </c>
      <c r="C90" s="311" t="s">
        <v>23</v>
      </c>
      <c r="D90" s="312"/>
      <c r="E90" s="313"/>
      <c r="F90" s="313" t="s">
        <v>263</v>
      </c>
      <c r="G90" s="313"/>
      <c r="H90" s="314"/>
      <c r="I90" s="315"/>
      <c r="J90" s="315" t="s">
        <v>264</v>
      </c>
      <c r="K90" s="315"/>
      <c r="L90" s="314"/>
      <c r="M90" s="316" t="s">
        <v>265</v>
      </c>
      <c r="N90" s="1"/>
      <c r="O90" s="1"/>
      <c r="P90" s="1"/>
    </row>
    <row r="91" spans="1:16" x14ac:dyDescent="0.25">
      <c r="A91" s="376"/>
      <c r="B91" s="377" t="s">
        <v>266</v>
      </c>
      <c r="C91" s="378" t="s">
        <v>287</v>
      </c>
      <c r="D91" s="377" t="s">
        <v>267</v>
      </c>
      <c r="E91" s="377" t="s">
        <v>268</v>
      </c>
      <c r="F91" s="377" t="s">
        <v>269</v>
      </c>
      <c r="G91" s="377" t="s">
        <v>4</v>
      </c>
      <c r="H91" s="379" t="s">
        <v>31</v>
      </c>
      <c r="I91" s="310" t="s">
        <v>270</v>
      </c>
      <c r="J91" s="310" t="s">
        <v>288</v>
      </c>
      <c r="K91" s="310" t="s">
        <v>272</v>
      </c>
      <c r="L91" s="319" t="s">
        <v>273</v>
      </c>
      <c r="M91" s="380"/>
      <c r="N91" s="1"/>
      <c r="O91" s="1"/>
      <c r="P91" s="1"/>
    </row>
    <row r="92" spans="1:16" ht="13" x14ac:dyDescent="0.3">
      <c r="A92" s="321" t="s">
        <v>274</v>
      </c>
      <c r="B92" s="322"/>
      <c r="C92" s="323"/>
      <c r="D92" s="322"/>
      <c r="E92" s="322"/>
      <c r="F92" s="322"/>
      <c r="G92" s="322"/>
      <c r="H92" s="322"/>
      <c r="I92" s="322"/>
      <c r="J92" s="322"/>
      <c r="K92" s="322"/>
      <c r="L92" s="322"/>
      <c r="M92" s="381">
        <f>M80</f>
        <v>33346.200000000004</v>
      </c>
      <c r="N92" s="1"/>
      <c r="O92" s="1"/>
      <c r="P92" s="1"/>
    </row>
    <row r="93" spans="1:16" x14ac:dyDescent="0.25">
      <c r="A93" s="343"/>
      <c r="B93" s="335"/>
      <c r="C93" s="336"/>
      <c r="D93" s="337"/>
      <c r="E93" s="337"/>
      <c r="F93" s="333"/>
      <c r="G93" s="333"/>
      <c r="H93" s="338"/>
      <c r="I93" s="333"/>
      <c r="J93" s="383"/>
      <c r="K93" s="384"/>
      <c r="L93" s="338"/>
      <c r="M93" s="406">
        <f t="shared" ref="M93:M104" si="5">+SUM(I93:L93)</f>
        <v>0</v>
      </c>
      <c r="N93" s="1"/>
      <c r="O93" s="1"/>
      <c r="P93" s="1"/>
    </row>
    <row r="94" spans="1:16" x14ac:dyDescent="0.25">
      <c r="A94" s="81">
        <v>44572</v>
      </c>
      <c r="B94" s="326" t="s">
        <v>277</v>
      </c>
      <c r="C94" s="327" t="s">
        <v>4</v>
      </c>
      <c r="D94" s="388"/>
      <c r="E94" s="386"/>
      <c r="F94" s="231"/>
      <c r="G94" s="219">
        <v>3238.37</v>
      </c>
      <c r="H94" s="338"/>
      <c r="I94" s="389">
        <v>3238.37</v>
      </c>
      <c r="J94" s="333"/>
      <c r="K94" s="341"/>
      <c r="L94" s="338"/>
      <c r="M94" s="406">
        <f t="shared" si="5"/>
        <v>3238.37</v>
      </c>
      <c r="N94" s="1"/>
      <c r="O94" s="1"/>
      <c r="P94" s="1"/>
    </row>
    <row r="95" spans="1:16" x14ac:dyDescent="0.25">
      <c r="A95" s="81"/>
      <c r="B95" s="335"/>
      <c r="C95" s="336"/>
      <c r="D95" s="407"/>
      <c r="E95" s="407"/>
      <c r="F95" s="330"/>
      <c r="G95" s="330"/>
      <c r="H95" s="331"/>
      <c r="I95" s="332"/>
      <c r="J95" s="333"/>
      <c r="K95" s="341"/>
      <c r="L95" s="338"/>
      <c r="M95" s="406">
        <f t="shared" si="5"/>
        <v>0</v>
      </c>
      <c r="N95" s="1"/>
      <c r="O95" s="1"/>
      <c r="P95" s="1"/>
    </row>
    <row r="96" spans="1:16" x14ac:dyDescent="0.25">
      <c r="A96" s="81"/>
      <c r="B96" s="72"/>
      <c r="C96" s="345"/>
      <c r="D96" s="337"/>
      <c r="E96" s="337"/>
      <c r="F96" s="333"/>
      <c r="G96" s="333"/>
      <c r="H96" s="338"/>
      <c r="I96" s="333"/>
      <c r="J96" s="333"/>
      <c r="K96" s="341"/>
      <c r="L96" s="338"/>
      <c r="M96" s="406">
        <f t="shared" si="5"/>
        <v>0</v>
      </c>
      <c r="N96" s="1"/>
      <c r="O96" s="1"/>
      <c r="P96" s="1"/>
    </row>
    <row r="97" spans="1:16" x14ac:dyDescent="0.25">
      <c r="A97" s="81"/>
      <c r="B97" s="72"/>
      <c r="C97" s="345"/>
      <c r="D97" s="337"/>
      <c r="E97" s="337"/>
      <c r="F97" s="333"/>
      <c r="G97" s="333"/>
      <c r="H97" s="338"/>
      <c r="I97" s="333"/>
      <c r="J97" s="333"/>
      <c r="K97" s="341"/>
      <c r="L97" s="338"/>
      <c r="M97" s="406">
        <f t="shared" si="5"/>
        <v>0</v>
      </c>
      <c r="N97" s="1"/>
      <c r="O97" s="1"/>
      <c r="P97" s="1"/>
    </row>
    <row r="98" spans="1:16" x14ac:dyDescent="0.25">
      <c r="A98" s="81"/>
      <c r="B98" s="72"/>
      <c r="C98" s="345"/>
      <c r="D98" s="337"/>
      <c r="E98" s="337"/>
      <c r="F98" s="333"/>
      <c r="G98" s="333"/>
      <c r="H98" s="338"/>
      <c r="I98" s="333"/>
      <c r="J98" s="333"/>
      <c r="K98" s="341"/>
      <c r="L98" s="338"/>
      <c r="M98" s="406">
        <f t="shared" si="5"/>
        <v>0</v>
      </c>
      <c r="N98" s="1"/>
      <c r="O98" s="1"/>
      <c r="P98" s="1"/>
    </row>
    <row r="99" spans="1:16" x14ac:dyDescent="0.25">
      <c r="A99" s="81"/>
      <c r="B99" s="72"/>
      <c r="C99" s="345"/>
      <c r="D99" s="337"/>
      <c r="E99" s="337"/>
      <c r="F99" s="333"/>
      <c r="G99" s="333"/>
      <c r="H99" s="338"/>
      <c r="I99" s="333"/>
      <c r="J99" s="333"/>
      <c r="K99" s="341"/>
      <c r="L99" s="338"/>
      <c r="M99" s="406">
        <f t="shared" si="5"/>
        <v>0</v>
      </c>
      <c r="N99" s="1"/>
      <c r="O99" s="1"/>
      <c r="P99" s="1"/>
    </row>
    <row r="100" spans="1:16" x14ac:dyDescent="0.25">
      <c r="A100" s="81"/>
      <c r="B100" s="72"/>
      <c r="C100" s="345"/>
      <c r="D100" s="337"/>
      <c r="E100" s="337"/>
      <c r="F100" s="333"/>
      <c r="G100" s="333"/>
      <c r="H100" s="338"/>
      <c r="I100" s="347"/>
      <c r="J100" s="347"/>
      <c r="K100" s="348"/>
      <c r="L100" s="338"/>
      <c r="M100" s="406">
        <f t="shared" si="5"/>
        <v>0</v>
      </c>
      <c r="N100" s="1"/>
      <c r="O100" s="1"/>
      <c r="P100" s="1"/>
    </row>
    <row r="101" spans="1:16" x14ac:dyDescent="0.25">
      <c r="A101" s="81"/>
      <c r="B101" s="72"/>
      <c r="C101" s="345"/>
      <c r="D101" s="337"/>
      <c r="E101" s="337"/>
      <c r="F101" s="333"/>
      <c r="G101" s="333"/>
      <c r="H101" s="338"/>
      <c r="I101" s="333"/>
      <c r="J101" s="333"/>
      <c r="K101" s="341"/>
      <c r="L101" s="338"/>
      <c r="M101" s="406">
        <f t="shared" si="5"/>
        <v>0</v>
      </c>
      <c r="N101" s="1"/>
      <c r="O101" s="1"/>
      <c r="P101" s="1"/>
    </row>
    <row r="102" spans="1:16" x14ac:dyDescent="0.25">
      <c r="A102" s="81"/>
      <c r="B102" s="72"/>
      <c r="C102" s="345"/>
      <c r="D102" s="337"/>
      <c r="E102" s="337"/>
      <c r="F102" s="349"/>
      <c r="G102" s="333"/>
      <c r="H102" s="338"/>
      <c r="I102" s="333"/>
      <c r="J102" s="333"/>
      <c r="K102" s="341"/>
      <c r="L102" s="338"/>
      <c r="M102" s="406">
        <f t="shared" si="5"/>
        <v>0</v>
      </c>
      <c r="N102" s="1"/>
      <c r="O102" s="1"/>
      <c r="P102" s="1"/>
    </row>
    <row r="103" spans="1:16" x14ac:dyDescent="0.25">
      <c r="A103" s="81"/>
      <c r="B103" s="72"/>
      <c r="C103" s="345"/>
      <c r="D103" s="337"/>
      <c r="E103" s="337"/>
      <c r="F103" s="349"/>
      <c r="G103" s="333"/>
      <c r="H103" s="338"/>
      <c r="I103" s="333"/>
      <c r="J103" s="333"/>
      <c r="K103" s="341"/>
      <c r="L103" s="338"/>
      <c r="M103" s="406">
        <f t="shared" si="5"/>
        <v>0</v>
      </c>
      <c r="N103" s="1"/>
      <c r="O103" s="1"/>
      <c r="P103" s="1"/>
    </row>
    <row r="104" spans="1:16" ht="13" thickBot="1" x14ac:dyDescent="0.3">
      <c r="A104" s="390"/>
      <c r="B104" s="141"/>
      <c r="C104" s="349"/>
      <c r="D104" s="349"/>
      <c r="E104" s="349"/>
      <c r="F104" s="349"/>
      <c r="G104" s="333"/>
      <c r="H104" s="338"/>
      <c r="I104" s="333"/>
      <c r="J104" s="333"/>
      <c r="K104" s="355"/>
      <c r="L104" s="408"/>
      <c r="M104" s="406">
        <f t="shared" si="5"/>
        <v>0</v>
      </c>
      <c r="N104" s="1"/>
      <c r="O104" s="1"/>
      <c r="P104" s="1"/>
    </row>
    <row r="105" spans="1:16" ht="13.5" thickTop="1" thickBot="1" x14ac:dyDescent="0.3">
      <c r="A105" s="356"/>
      <c r="B105" s="357"/>
      <c r="C105" s="358"/>
      <c r="D105" s="359">
        <f>+SUM(D93:D103)</f>
        <v>0</v>
      </c>
      <c r="E105" s="359">
        <f>+SUM(E93:E103)</f>
        <v>0</v>
      </c>
      <c r="F105" s="359">
        <f>+SUM(F93:F103)</f>
        <v>0</v>
      </c>
      <c r="G105" s="359">
        <f>+SUM(G93:G103)</f>
        <v>3238.37</v>
      </c>
      <c r="H105" s="359">
        <f>+SUM(H93:H103)</f>
        <v>0</v>
      </c>
      <c r="I105" s="361">
        <f>+SUM(I92:I103)</f>
        <v>3238.37</v>
      </c>
      <c r="J105" s="361">
        <f>+SUM(J92:J103)</f>
        <v>0</v>
      </c>
      <c r="K105" s="362"/>
      <c r="L105" s="363">
        <f>+SUM(L92:L103)</f>
        <v>0</v>
      </c>
      <c r="M105" s="364">
        <f>SUM(M91:M104)</f>
        <v>36584.570000000007</v>
      </c>
      <c r="N105" s="1"/>
      <c r="O105" s="1"/>
      <c r="P105" s="1"/>
    </row>
    <row r="106" spans="1:16" ht="13" thickTop="1" x14ac:dyDescent="0.25">
      <c r="A106" s="308"/>
      <c r="B106" s="1"/>
      <c r="C106" s="1"/>
      <c r="D106" s="392"/>
      <c r="E106" s="392"/>
      <c r="F106" s="392"/>
      <c r="G106" s="392"/>
      <c r="H106" s="392"/>
      <c r="I106" s="365"/>
      <c r="J106" s="365"/>
      <c r="K106" s="365"/>
      <c r="L106" s="365"/>
      <c r="M106" s="409"/>
      <c r="N106" s="1"/>
      <c r="O106" s="1"/>
      <c r="P106" s="1"/>
    </row>
    <row r="107" spans="1:16" x14ac:dyDescent="0.25">
      <c r="A107" s="308"/>
      <c r="B107" s="1"/>
      <c r="C107" s="392" t="s">
        <v>280</v>
      </c>
      <c r="D107" s="1"/>
      <c r="E107" s="392"/>
      <c r="F107" s="391">
        <f>D105+E105+F105+G105+H105</f>
        <v>3238.37</v>
      </c>
      <c r="G107" s="391"/>
      <c r="H107" s="392"/>
      <c r="I107" s="365"/>
      <c r="J107" s="365" t="s">
        <v>307</v>
      </c>
      <c r="K107" s="365"/>
      <c r="L107" s="365"/>
      <c r="M107" s="368">
        <f>'[1]Cash book'!I186</f>
        <v>14048.53</v>
      </c>
      <c r="N107" s="1"/>
      <c r="O107" s="1"/>
      <c r="P107" s="1"/>
    </row>
    <row r="108" spans="1:16" ht="13" thickBot="1" x14ac:dyDescent="0.3">
      <c r="A108" s="308"/>
      <c r="B108" s="1"/>
      <c r="C108" s="1" t="s">
        <v>282</v>
      </c>
      <c r="D108" s="392"/>
      <c r="E108" s="392"/>
      <c r="F108" s="392">
        <f>F107+F80</f>
        <v>93544.07</v>
      </c>
      <c r="G108" s="392"/>
      <c r="H108" s="392"/>
      <c r="I108" s="365"/>
      <c r="J108" s="365"/>
      <c r="K108" s="365"/>
      <c r="L108" s="365"/>
      <c r="M108" s="370">
        <f>+M105-M107</f>
        <v>22536.040000000008</v>
      </c>
      <c r="N108" s="1"/>
      <c r="O108" s="1"/>
      <c r="P108" s="1"/>
    </row>
    <row r="109" spans="1:16" ht="13" thickTop="1" x14ac:dyDescent="0.25">
      <c r="A109" s="30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308"/>
      <c r="B110" s="1"/>
      <c r="C110" s="1"/>
      <c r="D110" s="1"/>
      <c r="E110" s="1"/>
      <c r="F110" s="1"/>
      <c r="G110" s="1"/>
      <c r="H110" s="372" t="s">
        <v>283</v>
      </c>
      <c r="I110" s="393">
        <v>2536.04</v>
      </c>
      <c r="J110" s="1"/>
      <c r="K110" s="1"/>
      <c r="L110" s="1"/>
      <c r="M110" s="1"/>
      <c r="N110" s="1"/>
      <c r="O110" s="1"/>
      <c r="P110" s="1"/>
    </row>
    <row r="111" spans="1:16" x14ac:dyDescent="0.25">
      <c r="A111" s="308"/>
      <c r="B111" s="1"/>
      <c r="C111" s="1"/>
      <c r="D111" s="1"/>
      <c r="E111" s="1"/>
      <c r="F111" s="1"/>
      <c r="G111" s="1"/>
      <c r="H111" s="372" t="s">
        <v>294</v>
      </c>
      <c r="I111" s="393">
        <v>20000</v>
      </c>
      <c r="J111" s="1"/>
      <c r="K111" s="1"/>
      <c r="L111" s="1"/>
      <c r="M111" s="1"/>
      <c r="N111" s="1"/>
      <c r="O111" s="1"/>
      <c r="P111" s="1"/>
    </row>
    <row r="112" spans="1:16" x14ac:dyDescent="0.25">
      <c r="A112" s="308"/>
      <c r="B112" s="1"/>
      <c r="C112" s="1"/>
      <c r="D112" s="1"/>
      <c r="E112" s="1"/>
      <c r="F112" s="1"/>
      <c r="G112" s="1"/>
      <c r="H112" s="372"/>
      <c r="I112" s="373"/>
      <c r="J112" s="1"/>
      <c r="K112" s="1"/>
      <c r="L112" s="1"/>
      <c r="M112" s="1"/>
      <c r="N112" s="1"/>
      <c r="O112" s="1"/>
      <c r="P112" s="1"/>
    </row>
    <row r="113" spans="1:16" x14ac:dyDescent="0.25">
      <c r="A113" s="308"/>
      <c r="B113" s="1"/>
      <c r="C113" s="1"/>
      <c r="D113" s="1"/>
      <c r="E113" s="1"/>
      <c r="F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308"/>
      <c r="B114" s="1"/>
      <c r="C114" s="1"/>
      <c r="D114" s="1"/>
      <c r="E114" s="1"/>
      <c r="F114" s="1"/>
      <c r="G114" s="1" t="s">
        <v>285</v>
      </c>
      <c r="H114" s="1"/>
      <c r="I114" s="17"/>
      <c r="J114" s="1"/>
      <c r="K114" s="1"/>
      <c r="L114" s="1"/>
      <c r="M114" s="1"/>
      <c r="N114" s="1"/>
      <c r="O114" s="1"/>
      <c r="P114" s="1"/>
    </row>
    <row r="115" spans="1:16" ht="13" thickBot="1" x14ac:dyDescent="0.3">
      <c r="A115" s="308"/>
      <c r="B115" s="1"/>
      <c r="C115" s="1"/>
      <c r="D115" s="1"/>
      <c r="E115" s="1"/>
      <c r="F115" s="1" t="s">
        <v>308</v>
      </c>
      <c r="G115" s="1"/>
      <c r="H115" s="1"/>
      <c r="I115" s="324">
        <f>I110+I111+I114</f>
        <v>22536.04</v>
      </c>
      <c r="J115" s="1"/>
      <c r="K115" s="373">
        <f>I115-M108</f>
        <v>0</v>
      </c>
      <c r="L115" s="373"/>
      <c r="M115" s="373"/>
      <c r="N115" s="1"/>
      <c r="O115" s="1"/>
      <c r="P115" s="1"/>
    </row>
    <row r="116" spans="1:16" ht="13.5" thickTop="1" thickBot="1" x14ac:dyDescent="0.3">
      <c r="A116" s="30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thickTop="1" x14ac:dyDescent="0.3">
      <c r="A117" s="308"/>
      <c r="B117" s="1"/>
      <c r="C117" s="410"/>
      <c r="D117" s="411" t="s">
        <v>309</v>
      </c>
      <c r="E117" s="411"/>
      <c r="F117" s="411"/>
      <c r="G117" s="411"/>
      <c r="H117" s="411"/>
      <c r="I117" s="412"/>
      <c r="J117" s="1"/>
      <c r="K117" s="1"/>
      <c r="L117" s="1"/>
      <c r="M117" s="1"/>
      <c r="N117" s="1"/>
      <c r="O117" s="1"/>
      <c r="P117" s="1"/>
    </row>
    <row r="118" spans="1:16" x14ac:dyDescent="0.25">
      <c r="A118" s="308"/>
      <c r="B118" s="1"/>
      <c r="C118" s="413"/>
      <c r="D118" s="72" t="s">
        <v>267</v>
      </c>
      <c r="E118" s="72" t="s">
        <v>268</v>
      </c>
      <c r="F118" s="72" t="s">
        <v>269</v>
      </c>
      <c r="G118" s="72" t="s">
        <v>4</v>
      </c>
      <c r="H118" s="72" t="s">
        <v>31</v>
      </c>
      <c r="I118" s="414" t="s">
        <v>310</v>
      </c>
      <c r="L118" s="1"/>
      <c r="M118" s="1"/>
      <c r="N118" s="1"/>
      <c r="O118" s="1"/>
      <c r="P118" s="1"/>
    </row>
    <row r="119" spans="1:16" x14ac:dyDescent="0.25">
      <c r="A119" s="308"/>
      <c r="B119" s="1"/>
      <c r="C119" s="413" t="s">
        <v>311</v>
      </c>
      <c r="D119" s="70">
        <f>D21</f>
        <v>25441</v>
      </c>
      <c r="E119" s="70">
        <f>E21</f>
        <v>8.66</v>
      </c>
      <c r="F119" s="70">
        <f>F21</f>
        <v>0</v>
      </c>
      <c r="G119" s="70">
        <f>G21</f>
        <v>750.15</v>
      </c>
      <c r="H119" s="70">
        <f>H21</f>
        <v>0</v>
      </c>
      <c r="I119" s="415">
        <f>D119+E119+F119+G119+H119</f>
        <v>26199.81</v>
      </c>
      <c r="L119" s="1"/>
      <c r="M119" s="1"/>
      <c r="N119" s="1"/>
      <c r="O119" s="1"/>
      <c r="P119" s="1"/>
    </row>
    <row r="120" spans="1:16" x14ac:dyDescent="0.25">
      <c r="A120" s="308"/>
      <c r="B120" s="1"/>
      <c r="C120" s="413" t="s">
        <v>312</v>
      </c>
      <c r="D120" s="69">
        <f>D50</f>
        <v>0</v>
      </c>
      <c r="E120" s="69">
        <f>E50</f>
        <v>0</v>
      </c>
      <c r="F120" s="69">
        <f>F50</f>
        <v>11134.33</v>
      </c>
      <c r="G120" s="69">
        <f>G50</f>
        <v>546.92999999999995</v>
      </c>
      <c r="H120" s="69">
        <f>H50</f>
        <v>0</v>
      </c>
      <c r="I120" s="415">
        <f>D120+E120+F120+G120+H120</f>
        <v>11681.26</v>
      </c>
      <c r="J120" s="1"/>
      <c r="K120" s="1"/>
      <c r="L120" s="1"/>
      <c r="M120" s="1"/>
      <c r="N120" s="1"/>
      <c r="O120" s="1"/>
      <c r="P120" s="1"/>
    </row>
    <row r="121" spans="1:16" x14ac:dyDescent="0.25">
      <c r="A121" s="308"/>
      <c r="B121" s="1"/>
      <c r="C121" s="413" t="s">
        <v>313</v>
      </c>
      <c r="D121" s="69">
        <f>D77</f>
        <v>0</v>
      </c>
      <c r="E121" s="69">
        <f>E77</f>
        <v>7.8</v>
      </c>
      <c r="F121" s="69">
        <f>F77</f>
        <v>38895</v>
      </c>
      <c r="G121" s="69">
        <f>G77</f>
        <v>13196.83</v>
      </c>
      <c r="H121" s="69">
        <f>H77</f>
        <v>325</v>
      </c>
      <c r="I121" s="415">
        <f>D121+E121+F121+G121+H121</f>
        <v>52424.630000000005</v>
      </c>
      <c r="J121" s="1"/>
      <c r="K121" s="1"/>
      <c r="L121" s="1"/>
      <c r="M121" s="1"/>
      <c r="N121" s="1"/>
      <c r="O121" s="1"/>
      <c r="P121" s="1"/>
    </row>
    <row r="122" spans="1:16" ht="13" thickBot="1" x14ac:dyDescent="0.3">
      <c r="A122" s="308"/>
      <c r="B122" s="1"/>
      <c r="C122" s="416" t="s">
        <v>314</v>
      </c>
      <c r="D122" s="97">
        <f>D105</f>
        <v>0</v>
      </c>
      <c r="E122" s="97">
        <f>E105</f>
        <v>0</v>
      </c>
      <c r="F122" s="97">
        <f>F105</f>
        <v>0</v>
      </c>
      <c r="G122" s="97">
        <f>G105</f>
        <v>3238.37</v>
      </c>
      <c r="H122" s="97">
        <f>H105</f>
        <v>0</v>
      </c>
      <c r="I122" s="417">
        <f>D122+E122+F122+G122+H122</f>
        <v>3238.37</v>
      </c>
      <c r="J122" s="1"/>
      <c r="K122" s="1"/>
      <c r="L122" s="1"/>
      <c r="M122" s="1"/>
      <c r="N122" s="1"/>
      <c r="O122" s="1"/>
      <c r="P122" s="1"/>
    </row>
    <row r="123" spans="1:16" ht="13.5" thickTop="1" thickBot="1" x14ac:dyDescent="0.3">
      <c r="C123" s="419" t="s">
        <v>315</v>
      </c>
      <c r="D123" s="420">
        <f t="shared" ref="D123:I123" si="6">SUM(D119:D122)</f>
        <v>25441</v>
      </c>
      <c r="E123" s="420">
        <f t="shared" si="6"/>
        <v>16.46</v>
      </c>
      <c r="F123" s="420">
        <f t="shared" si="6"/>
        <v>50029.33</v>
      </c>
      <c r="G123" s="420">
        <f t="shared" si="6"/>
        <v>17732.28</v>
      </c>
      <c r="H123" s="420">
        <f t="shared" si="6"/>
        <v>325</v>
      </c>
      <c r="I123" s="421">
        <f t="shared" si="6"/>
        <v>93544.07</v>
      </c>
    </row>
    <row r="124" spans="1:16" ht="13" thickTop="1" x14ac:dyDescent="0.25"/>
  </sheetData>
  <mergeCells count="3">
    <mergeCell ref="A1:M2"/>
    <mergeCell ref="A3:M3"/>
    <mergeCell ref="D117:H117"/>
  </mergeCells>
  <pageMargins left="0.11811023622047245" right="0.11811023622047245" top="0.98425196850393704" bottom="0.98425196850393704" header="0.51181102362204722" footer="0.51181102362204722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633BC-AF29-405F-BB44-58C97F42952A}">
  <sheetPr>
    <tabColor indexed="10"/>
    <pageSetUpPr fitToPage="1"/>
  </sheetPr>
  <dimension ref="A1:AC194"/>
  <sheetViews>
    <sheetView zoomScale="94" zoomScaleNormal="94" workbookViewId="0">
      <pane xSplit="7" ySplit="9" topLeftCell="H138" activePane="bottomRight" state="frozenSplit"/>
      <selection pane="topRight" activeCell="G1" sqref="G1"/>
      <selection pane="bottomLeft" activeCell="A6" sqref="A6"/>
      <selection pane="bottomRight" activeCell="H148" sqref="H148"/>
    </sheetView>
  </sheetViews>
  <sheetFormatPr defaultRowHeight="12.5" x14ac:dyDescent="0.25"/>
  <cols>
    <col min="1" max="1" width="26.26953125" bestFit="1" customWidth="1"/>
    <col min="2" max="2" width="6.54296875" style="303" customWidth="1"/>
    <col min="3" max="3" width="12.08984375" style="304" bestFit="1" customWidth="1"/>
    <col min="4" max="4" width="9.81640625" customWidth="1"/>
    <col min="5" max="5" width="33.54296875" customWidth="1"/>
    <col min="6" max="6" width="41.90625" customWidth="1"/>
    <col min="7" max="7" width="5.7265625" customWidth="1"/>
    <col min="8" max="8" width="10" style="305" customWidth="1"/>
    <col min="9" max="9" width="10.7265625" style="305" customWidth="1"/>
    <col min="10" max="10" width="10.36328125" bestFit="1" customWidth="1"/>
    <col min="11" max="11" width="9" style="303" customWidth="1"/>
    <col min="12" max="12" width="9.54296875" bestFit="1" customWidth="1"/>
    <col min="13" max="13" width="9.26953125" bestFit="1" customWidth="1"/>
    <col min="15" max="15" width="11.1796875" customWidth="1"/>
    <col min="16" max="18" width="9.26953125" bestFit="1" customWidth="1"/>
    <col min="19" max="19" width="10" customWidth="1"/>
    <col min="20" max="20" width="23.08984375" bestFit="1" customWidth="1"/>
    <col min="25" max="25" width="9.26953125" bestFit="1" customWidth="1"/>
    <col min="29" max="29" width="12.453125" bestFit="1" customWidth="1"/>
  </cols>
  <sheetData>
    <row r="1" spans="1:29" ht="16" thickBot="1" x14ac:dyDescent="0.4">
      <c r="A1" s="1" t="s">
        <v>0</v>
      </c>
      <c r="B1" s="2"/>
      <c r="C1" s="3"/>
      <c r="D1" s="1"/>
      <c r="E1" s="1"/>
      <c r="F1" s="4" t="s">
        <v>1</v>
      </c>
      <c r="G1" s="4"/>
      <c r="H1" s="5" t="s">
        <v>2</v>
      </c>
      <c r="I1" s="6" t="s">
        <v>3</v>
      </c>
      <c r="J1" s="7" t="s">
        <v>4</v>
      </c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6" thickBot="1" x14ac:dyDescent="0.4">
      <c r="A2" s="1"/>
      <c r="B2" s="2"/>
      <c r="C2" s="3"/>
      <c r="D2" s="1">
        <f>62*10.953</f>
        <v>679.08600000000001</v>
      </c>
      <c r="E2" s="1"/>
      <c r="F2" s="8"/>
      <c r="G2" s="8"/>
      <c r="H2" s="9">
        <v>145.83000000000001</v>
      </c>
      <c r="I2" s="10">
        <f>H2*1.2</f>
        <v>174.99600000000001</v>
      </c>
      <c r="J2" s="11">
        <f>H2*1.2-H2</f>
        <v>29.165999999999997</v>
      </c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6" thickBot="1" x14ac:dyDescent="0.4">
      <c r="A3" s="1"/>
      <c r="B3" s="2"/>
      <c r="C3" s="3"/>
      <c r="D3" s="1">
        <v>27.88</v>
      </c>
      <c r="E3" s="1"/>
      <c r="F3" s="8"/>
      <c r="G3" s="8"/>
      <c r="H3" s="12">
        <f>I3/1.2</f>
        <v>6</v>
      </c>
      <c r="I3" s="13">
        <v>7.2</v>
      </c>
      <c r="J3" s="14">
        <f>I3-H3</f>
        <v>1.2000000000000002</v>
      </c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6" thickBot="1" x14ac:dyDescent="0.4">
      <c r="A4" s="1"/>
      <c r="B4" s="2"/>
      <c r="C4" s="3"/>
      <c r="D4" s="1">
        <f>679.09+27.88</f>
        <v>706.97</v>
      </c>
      <c r="E4" s="1"/>
      <c r="F4" s="4" t="s">
        <v>5</v>
      </c>
      <c r="G4" s="8"/>
      <c r="H4" s="15">
        <f>I4-J4</f>
        <v>2734.65</v>
      </c>
      <c r="I4" s="16">
        <f>J4*6</f>
        <v>3281.58</v>
      </c>
      <c r="J4" s="13">
        <v>546.92999999999995</v>
      </c>
      <c r="K4" s="2"/>
      <c r="L4" s="1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5" x14ac:dyDescent="0.35">
      <c r="A5" s="1"/>
      <c r="B5" s="2"/>
      <c r="C5" s="3"/>
      <c r="D5" s="1"/>
      <c r="E5" s="1"/>
      <c r="F5" s="8" t="s">
        <v>6</v>
      </c>
      <c r="G5" s="8"/>
      <c r="H5" s="18"/>
      <c r="I5" s="19"/>
      <c r="J5" s="19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5" customHeight="1" thickBot="1" x14ac:dyDescent="0.4">
      <c r="A6" s="1"/>
      <c r="B6" s="2"/>
      <c r="C6" s="3"/>
      <c r="D6" s="1"/>
      <c r="E6" s="1"/>
      <c r="F6" s="8" t="s">
        <v>7</v>
      </c>
      <c r="G6" s="8"/>
      <c r="H6" s="20"/>
      <c r="I6" s="20"/>
      <c r="J6" s="1"/>
      <c r="K6" s="2"/>
      <c r="L6" s="2" t="s">
        <v>8</v>
      </c>
      <c r="M6" s="2" t="s">
        <v>9</v>
      </c>
      <c r="N6" s="2" t="s">
        <v>10</v>
      </c>
      <c r="O6" s="2" t="s">
        <v>11</v>
      </c>
      <c r="P6" s="2" t="s">
        <v>12</v>
      </c>
      <c r="Q6" s="2" t="s">
        <v>13</v>
      </c>
      <c r="R6" s="2" t="s">
        <v>14</v>
      </c>
      <c r="S6" s="2" t="s">
        <v>15</v>
      </c>
      <c r="T6" s="2" t="s">
        <v>16</v>
      </c>
      <c r="U6" s="2" t="s">
        <v>17</v>
      </c>
      <c r="V6" s="1"/>
      <c r="W6" s="1"/>
      <c r="X6" s="1"/>
      <c r="Y6" s="1"/>
      <c r="Z6" s="1"/>
      <c r="AA6" s="1"/>
      <c r="AB6" s="1"/>
      <c r="AC6" s="1"/>
    </row>
    <row r="7" spans="1:29" ht="24" customHeight="1" x14ac:dyDescent="0.25">
      <c r="A7" s="21" t="s">
        <v>18</v>
      </c>
      <c r="B7" s="21" t="s">
        <v>19</v>
      </c>
      <c r="C7" s="22" t="s">
        <v>20</v>
      </c>
      <c r="D7" s="21" t="s">
        <v>21</v>
      </c>
      <c r="E7" s="21" t="s">
        <v>22</v>
      </c>
      <c r="F7" s="21" t="s">
        <v>23</v>
      </c>
      <c r="G7" s="21" t="s">
        <v>24</v>
      </c>
      <c r="H7" s="23" t="s">
        <v>25</v>
      </c>
      <c r="I7" s="24" t="s">
        <v>26</v>
      </c>
      <c r="J7" s="25" t="s">
        <v>27</v>
      </c>
      <c r="K7" s="26" t="s">
        <v>28</v>
      </c>
      <c r="L7" s="21" t="str">
        <f>[1]Budget!A6</f>
        <v>STAFF COSTS</v>
      </c>
      <c r="M7" s="21" t="s">
        <v>29</v>
      </c>
      <c r="N7" s="21" t="str">
        <f>[1]Budget!A35</f>
        <v>PARK &amp; OPEN SPACES</v>
      </c>
      <c r="O7" s="21" t="str">
        <f>[1]Budget!A42</f>
        <v>CHURCHYARD</v>
      </c>
      <c r="P7" s="21" t="str">
        <f>[1]Budget!A49</f>
        <v>SUBSCRIPTIONS</v>
      </c>
      <c r="Q7" s="21" t="str">
        <f>[1]Budget!A56</f>
        <v xml:space="preserve">GRANTS &amp; DONATIONS </v>
      </c>
      <c r="R7" s="21" t="str">
        <f>[1]Budget!A60</f>
        <v>OTHER</v>
      </c>
      <c r="S7" s="21" t="str">
        <f>[1]Budget!A65</f>
        <v>CONTINGENCY</v>
      </c>
      <c r="T7" s="21" t="str">
        <f>[1]Budget!A69</f>
        <v>EARMARKED RESERVE FUNDS</v>
      </c>
      <c r="U7" s="27" t="str">
        <f>[1]Budget!A75</f>
        <v xml:space="preserve">CAPITAL </v>
      </c>
      <c r="V7" s="21"/>
      <c r="W7" s="21"/>
      <c r="X7" s="21"/>
      <c r="Y7" s="21" t="s">
        <v>30</v>
      </c>
      <c r="Z7" s="21" t="s">
        <v>30</v>
      </c>
      <c r="AA7" s="21" t="s">
        <v>30</v>
      </c>
      <c r="AB7" s="21" t="s">
        <v>31</v>
      </c>
      <c r="AC7" s="28" t="s">
        <v>2</v>
      </c>
    </row>
    <row r="8" spans="1:29" ht="13" hidden="1" thickBot="1" x14ac:dyDescent="0.3">
      <c r="A8" s="29"/>
      <c r="B8" s="29"/>
      <c r="C8" s="30" t="s">
        <v>32</v>
      </c>
      <c r="D8" s="29" t="s">
        <v>33</v>
      </c>
      <c r="E8" s="29"/>
      <c r="F8" s="29"/>
      <c r="G8" s="29" t="s">
        <v>34</v>
      </c>
      <c r="H8" s="31"/>
      <c r="I8" s="32"/>
      <c r="J8" s="33" t="s">
        <v>26</v>
      </c>
      <c r="K8" s="34"/>
      <c r="L8" s="29"/>
      <c r="M8" s="29"/>
      <c r="N8" s="29"/>
      <c r="O8" s="29"/>
      <c r="P8" s="29"/>
      <c r="Q8" s="29"/>
      <c r="R8" s="29"/>
      <c r="S8" s="29"/>
      <c r="T8" s="29"/>
      <c r="U8" s="35"/>
      <c r="V8" s="29"/>
      <c r="W8" s="29"/>
      <c r="X8" s="29"/>
      <c r="Y8" s="29"/>
      <c r="Z8" s="29"/>
      <c r="AA8" s="29"/>
      <c r="AB8" s="29" t="s">
        <v>35</v>
      </c>
    </row>
    <row r="9" spans="1:29" ht="2" customHeight="1" x14ac:dyDescent="0.25">
      <c r="A9" s="36"/>
      <c r="B9" s="36"/>
      <c r="C9" s="37"/>
      <c r="D9" s="36"/>
      <c r="E9" s="36"/>
      <c r="F9" s="36"/>
      <c r="G9" s="36"/>
      <c r="H9" s="38"/>
      <c r="I9" s="39"/>
      <c r="J9" s="40"/>
      <c r="K9" s="41"/>
      <c r="L9" s="36" t="s">
        <v>8</v>
      </c>
      <c r="M9" s="36" t="str">
        <f>[1]Budget!A13</f>
        <v>ADMINISTRATION COSTS</v>
      </c>
      <c r="N9" s="36" t="s">
        <v>10</v>
      </c>
      <c r="O9" s="36"/>
      <c r="P9" s="36" t="s">
        <v>12</v>
      </c>
      <c r="Q9" s="36"/>
      <c r="R9" s="36" t="s">
        <v>14</v>
      </c>
      <c r="S9" s="36" t="s">
        <v>15</v>
      </c>
      <c r="T9" s="36" t="s">
        <v>16</v>
      </c>
      <c r="U9" s="36" t="s">
        <v>17</v>
      </c>
      <c r="V9" s="36" t="s">
        <v>36</v>
      </c>
      <c r="W9" s="36" t="s">
        <v>37</v>
      </c>
      <c r="X9" s="36" t="s">
        <v>38</v>
      </c>
      <c r="Y9" s="36" t="s">
        <v>39</v>
      </c>
      <c r="Z9" s="36" t="s">
        <v>40</v>
      </c>
      <c r="AA9" s="36" t="s">
        <v>41</v>
      </c>
      <c r="AB9" s="36" t="s">
        <v>42</v>
      </c>
    </row>
    <row r="10" spans="1:29" s="54" customFormat="1" ht="14" x14ac:dyDescent="0.3">
      <c r="A10" s="42">
        <v>44298</v>
      </c>
      <c r="B10" s="43">
        <v>782</v>
      </c>
      <c r="C10" s="44" t="s">
        <v>43</v>
      </c>
      <c r="D10" s="43" t="s">
        <v>44</v>
      </c>
      <c r="E10" s="45" t="s">
        <v>45</v>
      </c>
      <c r="F10" s="45" t="s">
        <v>46</v>
      </c>
      <c r="G10" s="43" t="s">
        <v>47</v>
      </c>
      <c r="H10" s="46"/>
      <c r="I10" s="47">
        <v>2462.73</v>
      </c>
      <c r="J10" s="48">
        <f t="shared" ref="J10:J19" si="0">+SUM(L10:AB10)+H10</f>
        <v>2462.73</v>
      </c>
      <c r="K10" s="49" t="s">
        <v>48</v>
      </c>
      <c r="L10" s="47">
        <v>2462.73</v>
      </c>
      <c r="M10" s="50"/>
      <c r="N10" s="50"/>
      <c r="O10" s="50"/>
      <c r="P10" s="50"/>
      <c r="Q10" s="50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2"/>
      <c r="AC10" s="53">
        <f>SUM(L10:AB10)</f>
        <v>2462.73</v>
      </c>
    </row>
    <row r="11" spans="1:29" s="58" customFormat="1" ht="14" x14ac:dyDescent="0.3">
      <c r="A11" s="42">
        <v>44298</v>
      </c>
      <c r="B11" s="43">
        <v>782</v>
      </c>
      <c r="C11" s="44" t="s">
        <v>43</v>
      </c>
      <c r="D11" s="43" t="s">
        <v>44</v>
      </c>
      <c r="E11" s="45" t="s">
        <v>45</v>
      </c>
      <c r="F11" s="55" t="s">
        <v>49</v>
      </c>
      <c r="G11" s="43" t="s">
        <v>50</v>
      </c>
      <c r="H11" s="46">
        <f>2.4*3</f>
        <v>7.1999999999999993</v>
      </c>
      <c r="I11" s="47">
        <v>43.17</v>
      </c>
      <c r="J11" s="48">
        <f t="shared" si="0"/>
        <v>43.17</v>
      </c>
      <c r="K11" s="49" t="s">
        <v>48</v>
      </c>
      <c r="L11" s="50"/>
      <c r="M11" s="50">
        <f>11.99*3</f>
        <v>35.97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6"/>
      <c r="Y11" s="56"/>
      <c r="Z11" s="56"/>
      <c r="AA11" s="56"/>
      <c r="AB11" s="57"/>
      <c r="AC11" s="53">
        <f t="shared" ref="AC11:AC74" si="1">SUM(L11:AB11)</f>
        <v>35.97</v>
      </c>
    </row>
    <row r="12" spans="1:29" ht="14" x14ac:dyDescent="0.3">
      <c r="A12" s="42">
        <v>44298</v>
      </c>
      <c r="B12" s="43">
        <v>782</v>
      </c>
      <c r="C12" s="44" t="s">
        <v>43</v>
      </c>
      <c r="D12" s="43" t="s">
        <v>44</v>
      </c>
      <c r="E12" s="45" t="s">
        <v>45</v>
      </c>
      <c r="F12" s="55" t="s">
        <v>51</v>
      </c>
      <c r="G12" s="43" t="s">
        <v>52</v>
      </c>
      <c r="H12" s="46">
        <v>3</v>
      </c>
      <c r="I12" s="47">
        <v>18</v>
      </c>
      <c r="J12" s="48">
        <f t="shared" si="0"/>
        <v>18</v>
      </c>
      <c r="K12" s="49" t="s">
        <v>48</v>
      </c>
      <c r="L12" s="50"/>
      <c r="M12" s="50">
        <v>15</v>
      </c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9"/>
      <c r="Y12" s="59"/>
      <c r="Z12" s="59"/>
      <c r="AA12" s="59"/>
      <c r="AB12" s="60"/>
      <c r="AC12" s="53">
        <f t="shared" si="1"/>
        <v>15</v>
      </c>
    </row>
    <row r="13" spans="1:29" ht="14" x14ac:dyDescent="0.3">
      <c r="A13" s="42">
        <v>44298</v>
      </c>
      <c r="B13" s="43">
        <v>782</v>
      </c>
      <c r="C13" s="44" t="s">
        <v>43</v>
      </c>
      <c r="D13" s="43" t="s">
        <v>44</v>
      </c>
      <c r="E13" s="45" t="s">
        <v>45</v>
      </c>
      <c r="F13" s="55" t="s">
        <v>53</v>
      </c>
      <c r="G13" s="43" t="s">
        <v>54</v>
      </c>
      <c r="H13" s="46"/>
      <c r="I13" s="47">
        <v>48</v>
      </c>
      <c r="J13" s="48">
        <f t="shared" si="0"/>
        <v>48</v>
      </c>
      <c r="K13" s="49" t="s">
        <v>48</v>
      </c>
      <c r="L13" s="50"/>
      <c r="M13" s="50">
        <v>48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9"/>
      <c r="Y13" s="59"/>
      <c r="Z13" s="59"/>
      <c r="AA13" s="59"/>
      <c r="AB13" s="60"/>
      <c r="AC13" s="53">
        <f t="shared" si="1"/>
        <v>48</v>
      </c>
    </row>
    <row r="14" spans="1:29" ht="14" x14ac:dyDescent="0.3">
      <c r="A14" s="42">
        <v>44298</v>
      </c>
      <c r="B14" s="43">
        <v>782</v>
      </c>
      <c r="C14" s="44" t="s">
        <v>43</v>
      </c>
      <c r="D14" s="43" t="s">
        <v>44</v>
      </c>
      <c r="E14" s="45" t="s">
        <v>45</v>
      </c>
      <c r="F14" s="55" t="s">
        <v>55</v>
      </c>
      <c r="G14" s="43" t="s">
        <v>56</v>
      </c>
      <c r="H14" s="46">
        <v>2.06</v>
      </c>
      <c r="I14" s="47">
        <v>12.33</v>
      </c>
      <c r="J14" s="48">
        <f t="shared" si="0"/>
        <v>12.33</v>
      </c>
      <c r="K14" s="49" t="s">
        <v>48</v>
      </c>
      <c r="L14" s="50"/>
      <c r="M14" s="50">
        <f>12.33-2.06</f>
        <v>10.27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9"/>
      <c r="Y14" s="59"/>
      <c r="Z14" s="59"/>
      <c r="AA14" s="59"/>
      <c r="AB14" s="60"/>
      <c r="AC14" s="53">
        <f t="shared" si="1"/>
        <v>10.27</v>
      </c>
    </row>
    <row r="15" spans="1:29" ht="14" x14ac:dyDescent="0.3">
      <c r="A15" s="42">
        <v>44298</v>
      </c>
      <c r="B15" s="43">
        <v>782</v>
      </c>
      <c r="C15" s="44" t="s">
        <v>43</v>
      </c>
      <c r="D15" s="43" t="s">
        <v>44</v>
      </c>
      <c r="E15" s="45" t="s">
        <v>45</v>
      </c>
      <c r="F15" s="55" t="s">
        <v>57</v>
      </c>
      <c r="G15" s="43" t="s">
        <v>58</v>
      </c>
      <c r="H15" s="46"/>
      <c r="I15" s="47">
        <v>7.92</v>
      </c>
      <c r="J15" s="48">
        <f t="shared" si="0"/>
        <v>7.92</v>
      </c>
      <c r="K15" s="49" t="s">
        <v>48</v>
      </c>
      <c r="L15" s="50"/>
      <c r="M15" s="50">
        <v>7.92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9"/>
      <c r="Y15" s="59"/>
      <c r="Z15" s="59"/>
      <c r="AA15" s="59"/>
      <c r="AB15" s="60"/>
      <c r="AC15" s="53">
        <f t="shared" si="1"/>
        <v>7.92</v>
      </c>
    </row>
    <row r="16" spans="1:29" ht="14" x14ac:dyDescent="0.3">
      <c r="A16" s="42">
        <v>44298</v>
      </c>
      <c r="B16" s="43">
        <v>782</v>
      </c>
      <c r="C16" s="44" t="s">
        <v>43</v>
      </c>
      <c r="D16" s="43" t="s">
        <v>44</v>
      </c>
      <c r="E16" s="45" t="s">
        <v>45</v>
      </c>
      <c r="F16" s="55" t="s">
        <v>59</v>
      </c>
      <c r="G16" s="43" t="s">
        <v>60</v>
      </c>
      <c r="H16" s="46">
        <f>11.62+2.82</f>
        <v>14.44</v>
      </c>
      <c r="I16" s="47">
        <v>86.68</v>
      </c>
      <c r="J16" s="48">
        <f t="shared" si="0"/>
        <v>86.679999999999993</v>
      </c>
      <c r="K16" s="49" t="s">
        <v>48</v>
      </c>
      <c r="L16" s="50"/>
      <c r="M16" s="50"/>
      <c r="N16" s="50"/>
      <c r="O16" s="50"/>
      <c r="P16" s="50"/>
      <c r="Q16" s="50"/>
      <c r="R16" s="50"/>
      <c r="S16" s="50"/>
      <c r="T16" s="50"/>
      <c r="U16" s="50">
        <f>14.08+58.16</f>
        <v>72.239999999999995</v>
      </c>
      <c r="V16" s="50"/>
      <c r="W16" s="50"/>
      <c r="X16" s="59"/>
      <c r="Y16" s="59"/>
      <c r="Z16" s="59"/>
      <c r="AA16" s="59"/>
      <c r="AB16" s="60"/>
      <c r="AC16" s="53">
        <f t="shared" si="1"/>
        <v>72.239999999999995</v>
      </c>
    </row>
    <row r="17" spans="1:29" ht="14" x14ac:dyDescent="0.3">
      <c r="A17" s="42">
        <v>44298</v>
      </c>
      <c r="B17" s="43">
        <v>782</v>
      </c>
      <c r="C17" s="44" t="s">
        <v>43</v>
      </c>
      <c r="D17" s="43" t="s">
        <v>44</v>
      </c>
      <c r="E17" s="45" t="s">
        <v>45</v>
      </c>
      <c r="F17" s="55" t="s">
        <v>61</v>
      </c>
      <c r="G17" s="43" t="s">
        <v>60</v>
      </c>
      <c r="H17" s="46">
        <v>12.58</v>
      </c>
      <c r="I17" s="47">
        <v>75.489999999999995</v>
      </c>
      <c r="J17" s="48">
        <f t="shared" si="0"/>
        <v>75.489999999999995</v>
      </c>
      <c r="K17" s="49" t="s">
        <v>48</v>
      </c>
      <c r="L17" s="59"/>
      <c r="M17" s="59"/>
      <c r="N17" s="59"/>
      <c r="O17" s="59"/>
      <c r="P17" s="59"/>
      <c r="Q17" s="61"/>
      <c r="R17" s="59"/>
      <c r="S17" s="59"/>
      <c r="T17" s="59"/>
      <c r="U17" s="59">
        <v>62.91</v>
      </c>
      <c r="V17" s="59"/>
      <c r="W17" s="59"/>
      <c r="X17" s="59"/>
      <c r="Y17" s="59"/>
      <c r="Z17" s="59"/>
      <c r="AA17" s="59"/>
      <c r="AB17" s="60"/>
      <c r="AC17" s="53">
        <f t="shared" si="1"/>
        <v>62.91</v>
      </c>
    </row>
    <row r="18" spans="1:29" ht="14" x14ac:dyDescent="0.3">
      <c r="A18" s="42">
        <v>44298</v>
      </c>
      <c r="B18" s="43">
        <v>782</v>
      </c>
      <c r="C18" s="44" t="s">
        <v>43</v>
      </c>
      <c r="D18" s="43" t="s">
        <v>44</v>
      </c>
      <c r="E18" s="45" t="s">
        <v>45</v>
      </c>
      <c r="F18" s="62" t="s">
        <v>62</v>
      </c>
      <c r="G18" s="43" t="s">
        <v>63</v>
      </c>
      <c r="H18" s="46"/>
      <c r="I18" s="63">
        <v>21.7</v>
      </c>
      <c r="J18" s="48">
        <f t="shared" si="0"/>
        <v>21.7</v>
      </c>
      <c r="K18" s="49" t="s">
        <v>48</v>
      </c>
      <c r="L18" s="59"/>
      <c r="M18" s="59"/>
      <c r="N18" s="59"/>
      <c r="O18" s="59"/>
      <c r="P18" s="59"/>
      <c r="Q18" s="61"/>
      <c r="R18" s="59"/>
      <c r="S18" s="59">
        <v>21.7</v>
      </c>
      <c r="T18" s="59"/>
      <c r="U18" s="59"/>
      <c r="V18" s="59"/>
      <c r="W18" s="59"/>
      <c r="X18" s="59"/>
      <c r="Y18" s="59"/>
      <c r="Z18" s="59"/>
      <c r="AA18" s="59"/>
      <c r="AB18" s="60"/>
      <c r="AC18" s="53">
        <f t="shared" si="1"/>
        <v>21.7</v>
      </c>
    </row>
    <row r="19" spans="1:29" ht="14" x14ac:dyDescent="0.3">
      <c r="A19" s="42">
        <v>44298</v>
      </c>
      <c r="B19" s="43">
        <v>783</v>
      </c>
      <c r="C19" s="44" t="s">
        <v>43</v>
      </c>
      <c r="D19" s="43" t="s">
        <v>44</v>
      </c>
      <c r="E19" s="64" t="s">
        <v>64</v>
      </c>
      <c r="F19" s="64" t="s">
        <v>65</v>
      </c>
      <c r="G19" s="65" t="s">
        <v>66</v>
      </c>
      <c r="H19" s="66"/>
      <c r="I19" s="67">
        <v>58.42</v>
      </c>
      <c r="J19" s="48">
        <f t="shared" si="0"/>
        <v>58.42</v>
      </c>
      <c r="K19" s="68" t="s">
        <v>48</v>
      </c>
      <c r="L19" s="69">
        <v>58.42</v>
      </c>
      <c r="M19" s="69"/>
      <c r="N19" s="69"/>
      <c r="O19" s="69"/>
      <c r="P19" s="69"/>
      <c r="Q19" s="70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71"/>
      <c r="AC19" s="53">
        <f t="shared" si="1"/>
        <v>58.42</v>
      </c>
    </row>
    <row r="20" spans="1:29" ht="14" x14ac:dyDescent="0.3">
      <c r="A20" s="42">
        <v>44292</v>
      </c>
      <c r="B20" s="72">
        <v>785</v>
      </c>
      <c r="C20" s="44" t="s">
        <v>43</v>
      </c>
      <c r="D20" s="65" t="s">
        <v>44</v>
      </c>
      <c r="E20" s="64" t="s">
        <v>67</v>
      </c>
      <c r="F20" s="64" t="s">
        <v>68</v>
      </c>
      <c r="G20" s="65" t="s">
        <v>69</v>
      </c>
      <c r="H20" s="66">
        <v>19.22</v>
      </c>
      <c r="I20" s="67">
        <v>115.3</v>
      </c>
      <c r="J20" s="73">
        <f>+SUM(L20:AB20)+H20</f>
        <v>115.3</v>
      </c>
      <c r="K20" s="68" t="s">
        <v>48</v>
      </c>
      <c r="L20" s="69"/>
      <c r="M20" s="69"/>
      <c r="N20" s="69"/>
      <c r="O20" s="69">
        <v>96.08</v>
      </c>
      <c r="P20" s="69"/>
      <c r="Q20" s="70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71"/>
      <c r="AC20" s="53">
        <f t="shared" si="1"/>
        <v>96.08</v>
      </c>
    </row>
    <row r="21" spans="1:29" ht="14" x14ac:dyDescent="0.3">
      <c r="A21" s="42">
        <v>44298</v>
      </c>
      <c r="B21" s="72">
        <v>784</v>
      </c>
      <c r="C21" s="44" t="s">
        <v>43</v>
      </c>
      <c r="D21" s="65" t="s">
        <v>44</v>
      </c>
      <c r="E21" s="64" t="s">
        <v>70</v>
      </c>
      <c r="F21" s="64" t="s">
        <v>71</v>
      </c>
      <c r="G21" s="65" t="s">
        <v>72</v>
      </c>
      <c r="H21" s="66"/>
      <c r="I21" s="67">
        <v>13.92</v>
      </c>
      <c r="J21" s="74">
        <f t="shared" ref="J21:J31" si="2">+SUM(L21:AB21)+H21</f>
        <v>13.92</v>
      </c>
      <c r="K21" s="75" t="s">
        <v>48</v>
      </c>
      <c r="L21" s="69"/>
      <c r="M21" s="69"/>
      <c r="N21" s="69"/>
      <c r="O21" s="69"/>
      <c r="P21" s="69"/>
      <c r="Q21" s="70"/>
      <c r="R21" s="69">
        <v>13.92</v>
      </c>
      <c r="S21" s="69"/>
      <c r="T21" s="69"/>
      <c r="U21" s="69"/>
      <c r="V21" s="69"/>
      <c r="W21" s="69"/>
      <c r="X21" s="69"/>
      <c r="Y21" s="69"/>
      <c r="Z21" s="69"/>
      <c r="AA21" s="69"/>
      <c r="AB21" s="71"/>
      <c r="AC21" s="53">
        <f t="shared" si="1"/>
        <v>13.92</v>
      </c>
    </row>
    <row r="22" spans="1:29" ht="14" x14ac:dyDescent="0.3">
      <c r="A22" s="42">
        <v>44298</v>
      </c>
      <c r="B22" s="65" t="s">
        <v>73</v>
      </c>
      <c r="C22" s="44" t="s">
        <v>43</v>
      </c>
      <c r="D22" s="65" t="s">
        <v>44</v>
      </c>
      <c r="E22" s="64" t="s">
        <v>74</v>
      </c>
      <c r="F22" s="64" t="s">
        <v>75</v>
      </c>
      <c r="G22" s="76" t="s">
        <v>76</v>
      </c>
      <c r="H22" s="77">
        <v>2.09</v>
      </c>
      <c r="I22" s="78">
        <v>12.56</v>
      </c>
      <c r="J22" s="74">
        <f t="shared" si="2"/>
        <v>12.56</v>
      </c>
      <c r="K22" s="79" t="s">
        <v>48</v>
      </c>
      <c r="L22" s="80"/>
      <c r="M22" s="80">
        <v>10.47</v>
      </c>
      <c r="N22" s="80"/>
      <c r="O22" s="69"/>
      <c r="P22" s="69"/>
      <c r="Q22" s="70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71"/>
      <c r="AC22" s="53">
        <f t="shared" si="1"/>
        <v>10.47</v>
      </c>
    </row>
    <row r="23" spans="1:29" ht="14" x14ac:dyDescent="0.3">
      <c r="A23" s="81">
        <v>44320</v>
      </c>
      <c r="B23" s="72">
        <v>786</v>
      </c>
      <c r="C23" s="44" t="s">
        <v>43</v>
      </c>
      <c r="D23" s="65" t="s">
        <v>44</v>
      </c>
      <c r="E23" s="82" t="s">
        <v>45</v>
      </c>
      <c r="F23" s="82" t="s">
        <v>77</v>
      </c>
      <c r="G23" s="43" t="s">
        <v>47</v>
      </c>
      <c r="H23" s="66"/>
      <c r="I23" s="47">
        <v>766.78</v>
      </c>
      <c r="J23" s="73">
        <f t="shared" si="2"/>
        <v>766.78</v>
      </c>
      <c r="K23" s="68" t="s">
        <v>48</v>
      </c>
      <c r="L23" s="69">
        <v>766.78</v>
      </c>
      <c r="M23" s="69"/>
      <c r="N23" s="69"/>
      <c r="O23" s="69"/>
      <c r="P23" s="69"/>
      <c r="Q23" s="70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1"/>
      <c r="AC23" s="53">
        <f t="shared" si="1"/>
        <v>766.78</v>
      </c>
    </row>
    <row r="24" spans="1:29" ht="16.5" x14ac:dyDescent="0.3">
      <c r="A24" s="81">
        <v>44320</v>
      </c>
      <c r="B24" s="72">
        <v>786</v>
      </c>
      <c r="C24" s="44" t="s">
        <v>43</v>
      </c>
      <c r="D24" s="65" t="s">
        <v>44</v>
      </c>
      <c r="E24" s="82" t="s">
        <v>45</v>
      </c>
      <c r="F24" s="55" t="s">
        <v>78</v>
      </c>
      <c r="G24" s="43" t="s">
        <v>58</v>
      </c>
      <c r="H24" s="66"/>
      <c r="I24" s="47">
        <v>23.77</v>
      </c>
      <c r="J24" s="73">
        <f t="shared" ref="J24" si="3">+SUM(L24:AB24)+H24</f>
        <v>23.77</v>
      </c>
      <c r="K24" s="68" t="s">
        <v>48</v>
      </c>
      <c r="L24" s="69"/>
      <c r="M24" s="69">
        <v>23.77</v>
      </c>
      <c r="N24" s="69"/>
      <c r="O24" s="69"/>
      <c r="P24" s="69"/>
      <c r="Q24" s="70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1"/>
      <c r="AC24" s="53">
        <f t="shared" si="1"/>
        <v>23.77</v>
      </c>
    </row>
    <row r="25" spans="1:29" ht="14" x14ac:dyDescent="0.3">
      <c r="A25" s="81">
        <v>44320</v>
      </c>
      <c r="B25" s="72">
        <v>786</v>
      </c>
      <c r="C25" s="44" t="s">
        <v>43</v>
      </c>
      <c r="D25" s="65" t="s">
        <v>44</v>
      </c>
      <c r="E25" s="82" t="s">
        <v>45</v>
      </c>
      <c r="F25" s="55" t="s">
        <v>79</v>
      </c>
      <c r="G25" s="43" t="s">
        <v>56</v>
      </c>
      <c r="H25" s="66">
        <v>0.77</v>
      </c>
      <c r="I25" s="47">
        <v>4.6100000000000003</v>
      </c>
      <c r="J25" s="73">
        <f>+SUM(L25:AB25)+H25</f>
        <v>4.6100000000000003</v>
      </c>
      <c r="K25" s="68" t="s">
        <v>48</v>
      </c>
      <c r="L25" s="69"/>
      <c r="M25" s="69">
        <f>4.61-0.77</f>
        <v>3.8400000000000003</v>
      </c>
      <c r="N25" s="69"/>
      <c r="O25" s="69"/>
      <c r="P25" s="69"/>
      <c r="Q25" s="70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71"/>
      <c r="AC25" s="53">
        <f t="shared" si="1"/>
        <v>3.8400000000000003</v>
      </c>
    </row>
    <row r="26" spans="1:29" ht="14" x14ac:dyDescent="0.3">
      <c r="A26" s="81">
        <v>44320</v>
      </c>
      <c r="B26" s="72">
        <v>786</v>
      </c>
      <c r="C26" s="44" t="s">
        <v>43</v>
      </c>
      <c r="D26" s="65" t="s">
        <v>44</v>
      </c>
      <c r="E26" s="82" t="s">
        <v>45</v>
      </c>
      <c r="F26" s="55" t="s">
        <v>80</v>
      </c>
      <c r="G26" s="43" t="s">
        <v>50</v>
      </c>
      <c r="H26" s="66">
        <v>2.4</v>
      </c>
      <c r="I26" s="47">
        <v>14.39</v>
      </c>
      <c r="J26" s="74">
        <f t="shared" si="2"/>
        <v>14.39</v>
      </c>
      <c r="K26" s="68" t="s">
        <v>48</v>
      </c>
      <c r="L26" s="69"/>
      <c r="M26" s="69">
        <v>11.99</v>
      </c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1"/>
      <c r="AC26" s="53">
        <f t="shared" si="1"/>
        <v>11.99</v>
      </c>
    </row>
    <row r="27" spans="1:29" ht="14" x14ac:dyDescent="0.3">
      <c r="A27" s="81">
        <v>44320</v>
      </c>
      <c r="B27" s="72">
        <v>786</v>
      </c>
      <c r="C27" s="44" t="s">
        <v>43</v>
      </c>
      <c r="D27" s="65" t="s">
        <v>44</v>
      </c>
      <c r="E27" s="82" t="s">
        <v>45</v>
      </c>
      <c r="F27" s="55" t="s">
        <v>81</v>
      </c>
      <c r="G27" s="43" t="s">
        <v>52</v>
      </c>
      <c r="H27" s="46">
        <v>1</v>
      </c>
      <c r="I27" s="47">
        <v>6</v>
      </c>
      <c r="J27" s="48">
        <f t="shared" si="2"/>
        <v>6</v>
      </c>
      <c r="K27" s="68" t="s">
        <v>48</v>
      </c>
      <c r="L27" s="59"/>
      <c r="M27" s="59">
        <v>5</v>
      </c>
      <c r="N27" s="5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71"/>
      <c r="AC27" s="53">
        <f t="shared" si="1"/>
        <v>5</v>
      </c>
    </row>
    <row r="28" spans="1:29" ht="14" x14ac:dyDescent="0.3">
      <c r="A28" s="81">
        <v>44320</v>
      </c>
      <c r="B28" s="72">
        <v>786</v>
      </c>
      <c r="C28" s="44" t="s">
        <v>43</v>
      </c>
      <c r="D28" s="65" t="s">
        <v>44</v>
      </c>
      <c r="E28" s="82" t="s">
        <v>45</v>
      </c>
      <c r="F28" s="62" t="s">
        <v>82</v>
      </c>
      <c r="G28" s="43" t="s">
        <v>54</v>
      </c>
      <c r="H28" s="66"/>
      <c r="I28" s="47">
        <v>19.2</v>
      </c>
      <c r="J28" s="73">
        <f t="shared" ref="J28" si="4">+SUM(L28:AB28)+H28</f>
        <v>19.2</v>
      </c>
      <c r="K28" s="68" t="s">
        <v>48</v>
      </c>
      <c r="L28" s="69"/>
      <c r="M28" s="69">
        <v>19.2</v>
      </c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71"/>
      <c r="AC28" s="53">
        <f t="shared" si="1"/>
        <v>19.2</v>
      </c>
    </row>
    <row r="29" spans="1:29" ht="14" x14ac:dyDescent="0.3">
      <c r="A29" s="81">
        <v>44320</v>
      </c>
      <c r="B29" s="72">
        <v>787</v>
      </c>
      <c r="C29" s="44" t="s">
        <v>43</v>
      </c>
      <c r="D29" s="65" t="s">
        <v>44</v>
      </c>
      <c r="E29" s="83" t="s">
        <v>83</v>
      </c>
      <c r="F29" s="64" t="s">
        <v>84</v>
      </c>
      <c r="G29" s="65" t="s">
        <v>85</v>
      </c>
      <c r="H29" s="66">
        <v>42.3</v>
      </c>
      <c r="I29" s="84">
        <v>253.8</v>
      </c>
      <c r="J29" s="74">
        <f>+SUM(L29:AB29)+H29</f>
        <v>253.8</v>
      </c>
      <c r="K29" s="85" t="s">
        <v>48</v>
      </c>
      <c r="L29" s="69"/>
      <c r="M29" s="69">
        <v>211.5</v>
      </c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71"/>
      <c r="AC29" s="53">
        <f t="shared" si="1"/>
        <v>211.5</v>
      </c>
    </row>
    <row r="30" spans="1:29" ht="14" x14ac:dyDescent="0.3">
      <c r="A30" s="81">
        <v>44320</v>
      </c>
      <c r="B30" s="72">
        <v>788</v>
      </c>
      <c r="C30" s="44" t="s">
        <v>86</v>
      </c>
      <c r="D30" s="65" t="s">
        <v>44</v>
      </c>
      <c r="E30" s="64" t="s">
        <v>87</v>
      </c>
      <c r="F30" s="64" t="s">
        <v>88</v>
      </c>
      <c r="G30" s="65" t="s">
        <v>89</v>
      </c>
      <c r="H30" s="66">
        <v>144</v>
      </c>
      <c r="I30" s="84">
        <v>864</v>
      </c>
      <c r="J30" s="74">
        <f t="shared" si="2"/>
        <v>864</v>
      </c>
      <c r="K30" s="85" t="s">
        <v>48</v>
      </c>
      <c r="L30" s="69"/>
      <c r="M30" s="69"/>
      <c r="N30" s="69"/>
      <c r="O30" s="69"/>
      <c r="P30" s="69"/>
      <c r="Q30" s="69"/>
      <c r="R30" s="69"/>
      <c r="S30" s="69"/>
      <c r="T30" s="69">
        <v>720</v>
      </c>
      <c r="U30" s="69"/>
      <c r="V30" s="69"/>
      <c r="W30" s="69"/>
      <c r="X30" s="69"/>
      <c r="Y30" s="69"/>
      <c r="Z30" s="69"/>
      <c r="AA30" s="69"/>
      <c r="AB30" s="71"/>
      <c r="AC30" s="53">
        <f t="shared" si="1"/>
        <v>720</v>
      </c>
    </row>
    <row r="31" spans="1:29" ht="14" x14ac:dyDescent="0.3">
      <c r="A31" s="81">
        <v>44320</v>
      </c>
      <c r="B31" s="72">
        <v>789</v>
      </c>
      <c r="C31" s="44" t="s">
        <v>43</v>
      </c>
      <c r="D31" s="65" t="s">
        <v>44</v>
      </c>
      <c r="E31" s="64" t="s">
        <v>90</v>
      </c>
      <c r="F31" s="64" t="s">
        <v>91</v>
      </c>
      <c r="G31" s="65" t="s">
        <v>92</v>
      </c>
      <c r="H31" s="66">
        <v>17.899999999999999</v>
      </c>
      <c r="I31" s="86">
        <v>107.4</v>
      </c>
      <c r="J31" s="74">
        <f t="shared" si="2"/>
        <v>107.4</v>
      </c>
      <c r="K31" s="85" t="s">
        <v>48</v>
      </c>
      <c r="L31" s="69"/>
      <c r="M31" s="69"/>
      <c r="N31" s="69">
        <v>89.5</v>
      </c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71"/>
      <c r="AC31" s="53">
        <f t="shared" si="1"/>
        <v>89.5</v>
      </c>
    </row>
    <row r="32" spans="1:29" ht="14" x14ac:dyDescent="0.3">
      <c r="A32" s="81">
        <v>44320</v>
      </c>
      <c r="B32" s="87">
        <v>790</v>
      </c>
      <c r="C32" s="88" t="s">
        <v>43</v>
      </c>
      <c r="D32" s="89" t="s">
        <v>44</v>
      </c>
      <c r="E32" s="64" t="s">
        <v>93</v>
      </c>
      <c r="F32" s="64" t="s">
        <v>94</v>
      </c>
      <c r="G32" s="43" t="s">
        <v>95</v>
      </c>
      <c r="H32" s="46">
        <v>70.66</v>
      </c>
      <c r="I32" s="90">
        <v>424</v>
      </c>
      <c r="J32" s="91">
        <f>+SUM(L32:AB32)+H32</f>
        <v>424</v>
      </c>
      <c r="K32" s="85" t="s">
        <v>48</v>
      </c>
      <c r="L32" s="69"/>
      <c r="M32" s="69"/>
      <c r="N32" s="69">
        <f>176.67+176.67</f>
        <v>353.34</v>
      </c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1"/>
      <c r="AC32" s="53">
        <f t="shared" si="1"/>
        <v>353.34</v>
      </c>
    </row>
    <row r="33" spans="1:29" ht="14" x14ac:dyDescent="0.3">
      <c r="A33" s="81">
        <v>44320</v>
      </c>
      <c r="B33" s="72">
        <v>790</v>
      </c>
      <c r="C33" s="44" t="s">
        <v>43</v>
      </c>
      <c r="D33" s="65" t="s">
        <v>44</v>
      </c>
      <c r="E33" s="64" t="s">
        <v>93</v>
      </c>
      <c r="F33" s="64" t="s">
        <v>96</v>
      </c>
      <c r="G33" s="65" t="s">
        <v>97</v>
      </c>
      <c r="H33" s="66">
        <v>111</v>
      </c>
      <c r="I33" s="84">
        <v>666</v>
      </c>
      <c r="J33" s="91">
        <f t="shared" ref="J33:J35" si="5">+SUM(L33:AB33)+H33</f>
        <v>666</v>
      </c>
      <c r="K33" s="85" t="s">
        <v>48</v>
      </c>
      <c r="L33" s="69"/>
      <c r="M33" s="69"/>
      <c r="N33" s="69">
        <f>365+110+80</f>
        <v>555</v>
      </c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71"/>
      <c r="AC33" s="53">
        <f t="shared" si="1"/>
        <v>555</v>
      </c>
    </row>
    <row r="34" spans="1:29" ht="14" x14ac:dyDescent="0.3">
      <c r="A34" s="81">
        <v>44320</v>
      </c>
      <c r="B34" s="65" t="s">
        <v>73</v>
      </c>
      <c r="C34" s="44" t="s">
        <v>43</v>
      </c>
      <c r="D34" s="65" t="s">
        <v>44</v>
      </c>
      <c r="E34" s="64" t="s">
        <v>98</v>
      </c>
      <c r="F34" s="64" t="s">
        <v>99</v>
      </c>
      <c r="G34" s="65" t="s">
        <v>100</v>
      </c>
      <c r="H34" s="66"/>
      <c r="I34" s="84">
        <v>35</v>
      </c>
      <c r="J34" s="92">
        <f t="shared" si="5"/>
        <v>35</v>
      </c>
      <c r="K34" s="93" t="s">
        <v>48</v>
      </c>
      <c r="L34" s="59"/>
      <c r="M34" s="59">
        <v>35</v>
      </c>
      <c r="N34" s="5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71"/>
      <c r="AC34" s="53">
        <f t="shared" si="1"/>
        <v>35</v>
      </c>
    </row>
    <row r="35" spans="1:29" ht="14" x14ac:dyDescent="0.3">
      <c r="A35" s="81">
        <v>44320</v>
      </c>
      <c r="B35" s="72">
        <v>792</v>
      </c>
      <c r="C35" s="44" t="s">
        <v>43</v>
      </c>
      <c r="D35" s="65" t="s">
        <v>44</v>
      </c>
      <c r="E35" s="64" t="s">
        <v>101</v>
      </c>
      <c r="F35" s="64" t="s">
        <v>102</v>
      </c>
      <c r="G35" s="65" t="s">
        <v>103</v>
      </c>
      <c r="H35" s="66"/>
      <c r="I35" s="84">
        <v>543.24</v>
      </c>
      <c r="J35" s="91">
        <f t="shared" si="5"/>
        <v>543.24</v>
      </c>
      <c r="K35" s="85" t="s">
        <v>48</v>
      </c>
      <c r="L35" s="69"/>
      <c r="M35" s="69"/>
      <c r="N35" s="69"/>
      <c r="O35" s="69"/>
      <c r="P35" s="69">
        <v>543.24</v>
      </c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71"/>
      <c r="AC35" s="53">
        <f t="shared" si="1"/>
        <v>543.24</v>
      </c>
    </row>
    <row r="36" spans="1:29" ht="14" x14ac:dyDescent="0.3">
      <c r="A36" s="81">
        <v>44320</v>
      </c>
      <c r="B36" s="72">
        <v>791</v>
      </c>
      <c r="C36" s="44" t="s">
        <v>43</v>
      </c>
      <c r="D36" s="65" t="s">
        <v>44</v>
      </c>
      <c r="E36" s="64" t="s">
        <v>104</v>
      </c>
      <c r="F36" s="64" t="s">
        <v>105</v>
      </c>
      <c r="G36" s="65" t="s">
        <v>69</v>
      </c>
      <c r="H36" s="66">
        <v>25.76</v>
      </c>
      <c r="I36" s="94">
        <v>154.56</v>
      </c>
      <c r="J36" s="91">
        <f t="shared" ref="J36" si="6">+SUM(L36:AB36)+H36</f>
        <v>154.56</v>
      </c>
      <c r="K36" s="85" t="s">
        <v>48</v>
      </c>
      <c r="L36" s="69"/>
      <c r="M36" s="69"/>
      <c r="N36" s="69"/>
      <c r="O36" s="69">
        <v>128.80000000000001</v>
      </c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71"/>
      <c r="AC36" s="53">
        <f t="shared" si="1"/>
        <v>128.80000000000001</v>
      </c>
    </row>
    <row r="37" spans="1:29" ht="14" x14ac:dyDescent="0.3">
      <c r="A37" s="95">
        <v>44320</v>
      </c>
      <c r="B37" s="72">
        <v>793</v>
      </c>
      <c r="C37" s="44" t="s">
        <v>43</v>
      </c>
      <c r="D37" s="65" t="s">
        <v>44</v>
      </c>
      <c r="E37" s="64" t="s">
        <v>106</v>
      </c>
      <c r="F37" s="64" t="s">
        <v>107</v>
      </c>
      <c r="G37" s="65" t="s">
        <v>108</v>
      </c>
      <c r="H37" s="66">
        <v>12</v>
      </c>
      <c r="I37" s="84">
        <v>72</v>
      </c>
      <c r="J37" s="91">
        <f>+SUM(L37:AB37)+H37</f>
        <v>72</v>
      </c>
      <c r="K37" s="68" t="s">
        <v>48</v>
      </c>
      <c r="L37" s="69"/>
      <c r="M37" s="69">
        <v>60</v>
      </c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71"/>
      <c r="AC37" s="53">
        <f t="shared" si="1"/>
        <v>60</v>
      </c>
    </row>
    <row r="38" spans="1:29" ht="14" x14ac:dyDescent="0.3">
      <c r="A38" s="95">
        <v>44354</v>
      </c>
      <c r="B38" s="72">
        <v>794</v>
      </c>
      <c r="C38" s="44" t="s">
        <v>43</v>
      </c>
      <c r="D38" s="65" t="s">
        <v>44</v>
      </c>
      <c r="E38" s="82" t="s">
        <v>45</v>
      </c>
      <c r="F38" s="82" t="s">
        <v>109</v>
      </c>
      <c r="G38" s="43" t="s">
        <v>47</v>
      </c>
      <c r="H38" s="66"/>
      <c r="I38" s="47">
        <v>766.78</v>
      </c>
      <c r="J38" s="73">
        <f t="shared" ref="J38:J45" si="7">+SUM(L38:AB38)+H38</f>
        <v>766.78</v>
      </c>
      <c r="K38" s="68" t="s">
        <v>48</v>
      </c>
      <c r="L38" s="69">
        <v>766.78</v>
      </c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71"/>
      <c r="AC38" s="53">
        <f t="shared" si="1"/>
        <v>766.78</v>
      </c>
    </row>
    <row r="39" spans="1:29" ht="14" x14ac:dyDescent="0.3">
      <c r="A39" s="95">
        <v>44354</v>
      </c>
      <c r="B39" s="72">
        <v>794</v>
      </c>
      <c r="C39" s="44" t="s">
        <v>43</v>
      </c>
      <c r="D39" s="65" t="s">
        <v>44</v>
      </c>
      <c r="E39" s="82" t="s">
        <v>45</v>
      </c>
      <c r="F39" s="55" t="s">
        <v>110</v>
      </c>
      <c r="G39" s="43" t="s">
        <v>60</v>
      </c>
      <c r="H39" s="66">
        <v>16</v>
      </c>
      <c r="I39" s="47">
        <v>96</v>
      </c>
      <c r="J39" s="73">
        <f t="shared" si="7"/>
        <v>96</v>
      </c>
      <c r="K39" s="68" t="s">
        <v>48</v>
      </c>
      <c r="L39" s="69"/>
      <c r="M39" s="69"/>
      <c r="N39" s="96"/>
      <c r="O39" s="97"/>
      <c r="P39" s="97"/>
      <c r="Q39" s="97"/>
      <c r="R39" s="97"/>
      <c r="S39" s="97"/>
      <c r="T39" s="97"/>
      <c r="U39" s="97">
        <v>80</v>
      </c>
      <c r="V39" s="97"/>
      <c r="W39" s="97"/>
      <c r="X39" s="97"/>
      <c r="Y39" s="97"/>
      <c r="Z39" s="97"/>
      <c r="AA39" s="97"/>
      <c r="AB39" s="98"/>
      <c r="AC39" s="53">
        <f t="shared" si="1"/>
        <v>80</v>
      </c>
    </row>
    <row r="40" spans="1:29" ht="14" x14ac:dyDescent="0.3">
      <c r="A40" s="95">
        <v>44354</v>
      </c>
      <c r="B40" s="72">
        <v>794</v>
      </c>
      <c r="C40" s="44" t="s">
        <v>43</v>
      </c>
      <c r="D40" s="65" t="s">
        <v>44</v>
      </c>
      <c r="E40" s="82" t="s">
        <v>45</v>
      </c>
      <c r="F40" s="55" t="s">
        <v>111</v>
      </c>
      <c r="G40" s="43" t="s">
        <v>50</v>
      </c>
      <c r="H40" s="66">
        <v>23.98</v>
      </c>
      <c r="I40" s="47">
        <v>143.88</v>
      </c>
      <c r="J40" s="74">
        <f t="shared" si="7"/>
        <v>143.88</v>
      </c>
      <c r="K40" s="68" t="s">
        <v>48</v>
      </c>
      <c r="L40" s="69"/>
      <c r="M40" s="69">
        <v>119.9</v>
      </c>
      <c r="N40" s="96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8"/>
      <c r="AC40" s="53">
        <f t="shared" si="1"/>
        <v>119.9</v>
      </c>
    </row>
    <row r="41" spans="1:29" ht="14" x14ac:dyDescent="0.3">
      <c r="A41" s="95">
        <v>44354</v>
      </c>
      <c r="B41" s="72">
        <v>794</v>
      </c>
      <c r="C41" s="44" t="s">
        <v>43</v>
      </c>
      <c r="D41" s="65" t="s">
        <v>44</v>
      </c>
      <c r="E41" s="82" t="s">
        <v>45</v>
      </c>
      <c r="F41" s="55" t="s">
        <v>112</v>
      </c>
      <c r="G41" s="43" t="s">
        <v>52</v>
      </c>
      <c r="H41" s="46">
        <v>1</v>
      </c>
      <c r="I41" s="47">
        <v>6</v>
      </c>
      <c r="J41" s="48">
        <f t="shared" si="7"/>
        <v>6</v>
      </c>
      <c r="K41" s="68" t="s">
        <v>48</v>
      </c>
      <c r="L41" s="59"/>
      <c r="M41" s="59">
        <v>5</v>
      </c>
      <c r="N41" s="96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8"/>
      <c r="AC41" s="53">
        <f t="shared" si="1"/>
        <v>5</v>
      </c>
    </row>
    <row r="42" spans="1:29" ht="14" x14ac:dyDescent="0.3">
      <c r="A42" s="95">
        <v>44354</v>
      </c>
      <c r="B42" s="72">
        <v>794</v>
      </c>
      <c r="C42" s="44" t="s">
        <v>43</v>
      </c>
      <c r="D42" s="65" t="s">
        <v>44</v>
      </c>
      <c r="E42" s="82" t="s">
        <v>45</v>
      </c>
      <c r="F42" s="62" t="s">
        <v>82</v>
      </c>
      <c r="G42" s="43" t="s">
        <v>54</v>
      </c>
      <c r="H42" s="66"/>
      <c r="I42" s="47">
        <v>12.8</v>
      </c>
      <c r="J42" s="73">
        <f t="shared" si="7"/>
        <v>12.8</v>
      </c>
      <c r="K42" s="68" t="s">
        <v>48</v>
      </c>
      <c r="L42" s="69"/>
      <c r="M42" s="69">
        <v>12.8</v>
      </c>
      <c r="N42" s="96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8"/>
      <c r="AC42" s="53">
        <f t="shared" si="1"/>
        <v>12.8</v>
      </c>
    </row>
    <row r="43" spans="1:29" ht="14" x14ac:dyDescent="0.3">
      <c r="A43" s="95">
        <v>44354</v>
      </c>
      <c r="B43" s="72">
        <v>795</v>
      </c>
      <c r="C43" s="99" t="s">
        <v>43</v>
      </c>
      <c r="D43" s="65" t="s">
        <v>44</v>
      </c>
      <c r="E43" s="100" t="s">
        <v>101</v>
      </c>
      <c r="F43" s="100" t="s">
        <v>113</v>
      </c>
      <c r="G43" s="101" t="s">
        <v>114</v>
      </c>
      <c r="H43" s="77"/>
      <c r="I43" s="102">
        <v>25</v>
      </c>
      <c r="J43" s="73">
        <f t="shared" si="7"/>
        <v>25</v>
      </c>
      <c r="K43" s="75" t="s">
        <v>48</v>
      </c>
      <c r="L43" s="96"/>
      <c r="M43" s="96">
        <v>25</v>
      </c>
      <c r="N43" s="96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8"/>
      <c r="AC43" s="53">
        <f t="shared" si="1"/>
        <v>25</v>
      </c>
    </row>
    <row r="44" spans="1:29" ht="14" x14ac:dyDescent="0.3">
      <c r="A44" s="95">
        <v>44354</v>
      </c>
      <c r="B44" s="72">
        <v>796</v>
      </c>
      <c r="C44" s="99" t="s">
        <v>43</v>
      </c>
      <c r="D44" s="65" t="s">
        <v>44</v>
      </c>
      <c r="E44" s="100" t="s">
        <v>104</v>
      </c>
      <c r="F44" s="64" t="s">
        <v>105</v>
      </c>
      <c r="G44" s="65" t="s">
        <v>69</v>
      </c>
      <c r="H44" s="77">
        <v>17.57</v>
      </c>
      <c r="I44" s="102">
        <v>105.43</v>
      </c>
      <c r="J44" s="73">
        <f t="shared" si="7"/>
        <v>105.43</v>
      </c>
      <c r="K44" s="75" t="s">
        <v>48</v>
      </c>
      <c r="L44" s="96"/>
      <c r="M44" s="96"/>
      <c r="N44" s="96"/>
      <c r="O44" s="97">
        <v>87.86</v>
      </c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8"/>
      <c r="AC44" s="53">
        <f t="shared" si="1"/>
        <v>87.86</v>
      </c>
    </row>
    <row r="45" spans="1:29" ht="14" x14ac:dyDescent="0.3">
      <c r="A45" s="95">
        <v>44354</v>
      </c>
      <c r="B45" s="103">
        <v>797</v>
      </c>
      <c r="C45" s="99" t="s">
        <v>43</v>
      </c>
      <c r="D45" s="65" t="s">
        <v>44</v>
      </c>
      <c r="E45" s="100" t="s">
        <v>115</v>
      </c>
      <c r="F45" s="100" t="s">
        <v>116</v>
      </c>
      <c r="G45" s="101" t="s">
        <v>117</v>
      </c>
      <c r="H45" s="77"/>
      <c r="I45" s="102">
        <v>20</v>
      </c>
      <c r="J45" s="73">
        <f t="shared" si="7"/>
        <v>20</v>
      </c>
      <c r="K45" s="75" t="s">
        <v>48</v>
      </c>
      <c r="L45" s="96"/>
      <c r="M45" s="96"/>
      <c r="N45" s="96"/>
      <c r="O45" s="97"/>
      <c r="P45" s="97">
        <v>20</v>
      </c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53">
        <f t="shared" si="1"/>
        <v>20</v>
      </c>
    </row>
    <row r="46" spans="1:29" s="54" customFormat="1" ht="14" x14ac:dyDescent="0.3">
      <c r="A46" s="104"/>
      <c r="B46" s="105"/>
      <c r="C46" s="106"/>
      <c r="D46" s="65"/>
      <c r="E46" s="107"/>
      <c r="F46" s="107"/>
      <c r="G46" s="108"/>
      <c r="H46" s="109"/>
      <c r="I46" s="110"/>
      <c r="J46" s="91">
        <f>+SUM(L46:AB46)+H46</f>
        <v>0</v>
      </c>
      <c r="K46" s="111"/>
      <c r="L46" s="112"/>
      <c r="M46" s="112"/>
      <c r="N46" s="112"/>
      <c r="O46" s="113"/>
      <c r="P46" s="114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53">
        <f t="shared" si="1"/>
        <v>0</v>
      </c>
    </row>
    <row r="47" spans="1:29" ht="14.5" thickBot="1" x14ac:dyDescent="0.35">
      <c r="A47" s="117"/>
      <c r="B47" s="118"/>
      <c r="C47" s="119"/>
      <c r="D47" s="117"/>
      <c r="E47" s="117"/>
      <c r="F47" s="117" t="s">
        <v>118</v>
      </c>
      <c r="G47" s="117"/>
      <c r="H47" s="120">
        <f>+SUM(H10:H46)</f>
        <v>546.93000000000006</v>
      </c>
      <c r="I47" s="120">
        <f>+SUM(I10:I46)</f>
        <v>8106.8600000000006</v>
      </c>
      <c r="J47" s="120">
        <f>+SUM(J10:J46)</f>
        <v>8106.8600000000006</v>
      </c>
      <c r="K47" s="120">
        <f>+SUM(K10:K38)</f>
        <v>0</v>
      </c>
      <c r="L47" s="120">
        <f>+SUM(L10:L46)</f>
        <v>4054.71</v>
      </c>
      <c r="M47" s="120">
        <f>+SUM(M10:M46)</f>
        <v>660.63</v>
      </c>
      <c r="N47" s="120">
        <f>+SUM(N10:N46)</f>
        <v>997.83999999999992</v>
      </c>
      <c r="O47" s="120">
        <f>+SUM(O10:O46)</f>
        <v>312.74</v>
      </c>
      <c r="P47" s="120">
        <f t="shared" ref="P47:AB47" si="8">+SUM(P10:P46)</f>
        <v>563.24</v>
      </c>
      <c r="Q47" s="120">
        <f t="shared" si="8"/>
        <v>0</v>
      </c>
      <c r="R47" s="120">
        <f t="shared" si="8"/>
        <v>13.92</v>
      </c>
      <c r="S47" s="120">
        <f t="shared" si="8"/>
        <v>21.7</v>
      </c>
      <c r="T47" s="120">
        <f t="shared" si="8"/>
        <v>720</v>
      </c>
      <c r="U47" s="120">
        <f t="shared" si="8"/>
        <v>215.14999999999998</v>
      </c>
      <c r="V47" s="120">
        <f t="shared" si="8"/>
        <v>0</v>
      </c>
      <c r="W47" s="120">
        <f t="shared" si="8"/>
        <v>0</v>
      </c>
      <c r="X47" s="120">
        <f t="shared" si="8"/>
        <v>0</v>
      </c>
      <c r="Y47" s="120">
        <f t="shared" si="8"/>
        <v>0</v>
      </c>
      <c r="Z47" s="120">
        <f t="shared" si="8"/>
        <v>0</v>
      </c>
      <c r="AA47" s="120">
        <f t="shared" si="8"/>
        <v>0</v>
      </c>
      <c r="AB47" s="120">
        <f t="shared" si="8"/>
        <v>0</v>
      </c>
      <c r="AC47" s="53">
        <f t="shared" si="1"/>
        <v>7559.9299999999994</v>
      </c>
    </row>
    <row r="48" spans="1:29" ht="14" x14ac:dyDescent="0.3">
      <c r="A48" s="121"/>
      <c r="B48" s="87"/>
      <c r="C48" s="88"/>
      <c r="D48" s="121"/>
      <c r="E48" s="121"/>
      <c r="F48" s="121"/>
      <c r="G48" s="121"/>
      <c r="H48" s="122"/>
      <c r="I48" s="123"/>
      <c r="J48" s="124"/>
      <c r="K48" s="125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7"/>
      <c r="AC48" s="53">
        <f t="shared" si="1"/>
        <v>0</v>
      </c>
    </row>
    <row r="49" spans="1:29" ht="14" x14ac:dyDescent="0.3">
      <c r="A49" s="21" t="s">
        <v>18</v>
      </c>
      <c r="B49" s="21" t="s">
        <v>19</v>
      </c>
      <c r="C49" s="22" t="s">
        <v>119</v>
      </c>
      <c r="D49" s="21" t="s">
        <v>21</v>
      </c>
      <c r="E49" s="21" t="s">
        <v>22</v>
      </c>
      <c r="F49" s="21" t="s">
        <v>23</v>
      </c>
      <c r="G49" s="21"/>
      <c r="H49" s="23" t="s">
        <v>4</v>
      </c>
      <c r="I49" s="24" t="s">
        <v>26</v>
      </c>
      <c r="J49" s="128" t="s">
        <v>27</v>
      </c>
      <c r="K49" s="129" t="s">
        <v>28</v>
      </c>
      <c r="L49" s="21" t="str">
        <f>L7</f>
        <v>STAFF COSTS</v>
      </c>
      <c r="M49" s="21" t="str">
        <f>M7</f>
        <v>ADMINISTRATION COSTS</v>
      </c>
      <c r="N49" s="21" t="str">
        <f t="shared" ref="N49:AB49" si="9">N7</f>
        <v>PARK &amp; OPEN SPACES</v>
      </c>
      <c r="O49" s="21" t="str">
        <f t="shared" si="9"/>
        <v>CHURCHYARD</v>
      </c>
      <c r="P49" s="21" t="str">
        <f t="shared" si="9"/>
        <v>SUBSCRIPTIONS</v>
      </c>
      <c r="Q49" s="21" t="str">
        <f t="shared" si="9"/>
        <v xml:space="preserve">GRANTS &amp; DONATIONS </v>
      </c>
      <c r="R49" s="21" t="str">
        <f t="shared" si="9"/>
        <v>OTHER</v>
      </c>
      <c r="S49" s="21" t="str">
        <f t="shared" si="9"/>
        <v>CONTINGENCY</v>
      </c>
      <c r="T49" s="21" t="str">
        <f t="shared" si="9"/>
        <v>EARMARKED RESERVE FUNDS</v>
      </c>
      <c r="U49" s="21" t="str">
        <f t="shared" si="9"/>
        <v xml:space="preserve">CAPITAL </v>
      </c>
      <c r="V49" s="21">
        <f t="shared" si="9"/>
        <v>0</v>
      </c>
      <c r="W49" s="21">
        <f t="shared" si="9"/>
        <v>0</v>
      </c>
      <c r="X49" s="21">
        <f t="shared" si="9"/>
        <v>0</v>
      </c>
      <c r="Y49" s="21" t="str">
        <f t="shared" si="9"/>
        <v>Cap Project</v>
      </c>
      <c r="Z49" s="21" t="str">
        <f t="shared" si="9"/>
        <v>Cap Project</v>
      </c>
      <c r="AA49" s="21" t="str">
        <f t="shared" si="9"/>
        <v>Cap Project</v>
      </c>
      <c r="AB49" s="130" t="str">
        <f t="shared" si="9"/>
        <v>Other</v>
      </c>
      <c r="AC49" s="53">
        <f t="shared" si="1"/>
        <v>0</v>
      </c>
    </row>
    <row r="50" spans="1:29" ht="14.5" thickBot="1" x14ac:dyDescent="0.35">
      <c r="A50" s="29"/>
      <c r="B50" s="29"/>
      <c r="C50" s="30" t="s">
        <v>32</v>
      </c>
      <c r="D50" s="29"/>
      <c r="E50" s="29"/>
      <c r="F50" s="29"/>
      <c r="G50" s="29"/>
      <c r="H50" s="31"/>
      <c r="I50" s="32"/>
      <c r="J50" s="33" t="s">
        <v>26</v>
      </c>
      <c r="K50" s="34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131"/>
      <c r="AC50" s="53">
        <f t="shared" si="1"/>
        <v>0</v>
      </c>
    </row>
    <row r="51" spans="1:29" ht="14" x14ac:dyDescent="0.3">
      <c r="A51" s="132"/>
      <c r="B51" s="133"/>
      <c r="C51" s="134"/>
      <c r="D51" s="135"/>
      <c r="E51" s="135"/>
      <c r="F51" s="135"/>
      <c r="G51" s="135"/>
      <c r="H51" s="38"/>
      <c r="I51" s="136"/>
      <c r="J51" s="137"/>
      <c r="K51" s="138"/>
      <c r="L51" s="36" t="s">
        <v>8</v>
      </c>
      <c r="M51" s="36" t="s">
        <v>9</v>
      </c>
      <c r="N51" s="36" t="s">
        <v>10</v>
      </c>
      <c r="O51" s="36" t="s">
        <v>11</v>
      </c>
      <c r="P51" s="36" t="s">
        <v>12</v>
      </c>
      <c r="Q51" s="36" t="s">
        <v>13</v>
      </c>
      <c r="R51" s="36" t="s">
        <v>14</v>
      </c>
      <c r="S51" s="36" t="s">
        <v>15</v>
      </c>
      <c r="T51" s="36" t="s">
        <v>16</v>
      </c>
      <c r="U51" s="36" t="s">
        <v>17</v>
      </c>
      <c r="V51" s="36" t="s">
        <v>36</v>
      </c>
      <c r="W51" s="36" t="s">
        <v>37</v>
      </c>
      <c r="X51" s="36" t="s">
        <v>38</v>
      </c>
      <c r="Y51" s="36" t="s">
        <v>39</v>
      </c>
      <c r="Z51" s="36" t="s">
        <v>40</v>
      </c>
      <c r="AA51" s="36" t="s">
        <v>41</v>
      </c>
      <c r="AB51" s="139" t="s">
        <v>42</v>
      </c>
      <c r="AC51" s="53">
        <f t="shared" si="1"/>
        <v>0</v>
      </c>
    </row>
    <row r="52" spans="1:29" ht="14" x14ac:dyDescent="0.3">
      <c r="A52" s="95">
        <v>44382</v>
      </c>
      <c r="B52" s="72">
        <v>798</v>
      </c>
      <c r="C52" s="44" t="s">
        <v>43</v>
      </c>
      <c r="D52" s="82" t="s">
        <v>120</v>
      </c>
      <c r="E52" s="82" t="s">
        <v>45</v>
      </c>
      <c r="F52" s="82" t="s">
        <v>121</v>
      </c>
      <c r="G52" s="43" t="s">
        <v>47</v>
      </c>
      <c r="H52" s="66"/>
      <c r="I52" s="47">
        <v>766.78</v>
      </c>
      <c r="J52" s="73">
        <f t="shared" ref="J52:J53" si="10">+SUM(L52:AB52)+H52</f>
        <v>766.78</v>
      </c>
      <c r="K52" s="68" t="s">
        <v>48</v>
      </c>
      <c r="L52" s="69">
        <v>766.78</v>
      </c>
      <c r="M52" s="69"/>
      <c r="N52" s="69"/>
      <c r="O52" s="50"/>
      <c r="P52" s="50"/>
      <c r="Q52" s="50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140"/>
      <c r="AC52" s="53">
        <f t="shared" si="1"/>
        <v>766.78</v>
      </c>
    </row>
    <row r="53" spans="1:29" ht="14" x14ac:dyDescent="0.3">
      <c r="A53" s="95">
        <v>44382</v>
      </c>
      <c r="B53" s="72">
        <v>798</v>
      </c>
      <c r="C53" s="44" t="s">
        <v>43</v>
      </c>
      <c r="D53" s="82" t="s">
        <v>120</v>
      </c>
      <c r="E53" s="82" t="s">
        <v>45</v>
      </c>
      <c r="F53" s="55" t="s">
        <v>122</v>
      </c>
      <c r="G53" s="43" t="s">
        <v>52</v>
      </c>
      <c r="H53" s="46">
        <v>1</v>
      </c>
      <c r="I53" s="47">
        <v>6</v>
      </c>
      <c r="J53" s="48">
        <f t="shared" si="10"/>
        <v>6</v>
      </c>
      <c r="K53" s="68" t="s">
        <v>48</v>
      </c>
      <c r="L53" s="59"/>
      <c r="M53" s="59">
        <v>5</v>
      </c>
      <c r="N53" s="59"/>
      <c r="O53" s="50"/>
      <c r="P53" s="50"/>
      <c r="Q53" s="50"/>
      <c r="R53" s="50"/>
      <c r="S53" s="50"/>
      <c r="T53" s="50"/>
      <c r="U53" s="50"/>
      <c r="V53" s="50"/>
      <c r="W53" s="50"/>
      <c r="X53" s="59"/>
      <c r="Y53" s="59"/>
      <c r="Z53" s="59"/>
      <c r="AA53" s="59"/>
      <c r="AB53" s="71"/>
      <c r="AC53" s="53">
        <f t="shared" si="1"/>
        <v>5</v>
      </c>
    </row>
    <row r="54" spans="1:29" ht="14" x14ac:dyDescent="0.3">
      <c r="A54" s="95">
        <v>44382</v>
      </c>
      <c r="B54" s="72">
        <v>798</v>
      </c>
      <c r="C54" s="44" t="s">
        <v>43</v>
      </c>
      <c r="D54" s="82" t="s">
        <v>120</v>
      </c>
      <c r="E54" s="82" t="s">
        <v>45</v>
      </c>
      <c r="F54" s="62" t="s">
        <v>123</v>
      </c>
      <c r="G54" s="43" t="s">
        <v>54</v>
      </c>
      <c r="H54" s="66"/>
      <c r="I54" s="47">
        <v>16</v>
      </c>
      <c r="J54" s="73">
        <v>16</v>
      </c>
      <c r="K54" s="68" t="s">
        <v>48</v>
      </c>
      <c r="L54" s="69"/>
      <c r="M54" s="69">
        <v>16</v>
      </c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71"/>
      <c r="AC54" s="53">
        <f t="shared" si="1"/>
        <v>16</v>
      </c>
    </row>
    <row r="55" spans="1:29" ht="14" x14ac:dyDescent="0.3">
      <c r="A55" s="95">
        <v>44382</v>
      </c>
      <c r="B55" s="72">
        <v>798</v>
      </c>
      <c r="C55" s="44" t="s">
        <v>43</v>
      </c>
      <c r="D55" s="82" t="s">
        <v>120</v>
      </c>
      <c r="E55" s="45" t="s">
        <v>45</v>
      </c>
      <c r="F55" s="55" t="s">
        <v>57</v>
      </c>
      <c r="G55" s="43" t="s">
        <v>58</v>
      </c>
      <c r="H55" s="46"/>
      <c r="I55" s="47">
        <v>7.92</v>
      </c>
      <c r="J55" s="48">
        <f t="shared" ref="J55:J82" si="11">+SUM(L55:AB55)+H55</f>
        <v>7.92</v>
      </c>
      <c r="K55" s="49" t="s">
        <v>48</v>
      </c>
      <c r="L55" s="50"/>
      <c r="M55" s="50">
        <v>7.92</v>
      </c>
      <c r="N55" s="50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71"/>
      <c r="AC55" s="53">
        <f t="shared" si="1"/>
        <v>7.92</v>
      </c>
    </row>
    <row r="56" spans="1:29" ht="14" x14ac:dyDescent="0.3">
      <c r="A56" s="95">
        <v>44382</v>
      </c>
      <c r="B56" s="72">
        <v>799</v>
      </c>
      <c r="C56" s="44" t="s">
        <v>43</v>
      </c>
      <c r="D56" s="82" t="s">
        <v>120</v>
      </c>
      <c r="E56" s="141" t="s">
        <v>64</v>
      </c>
      <c r="F56" s="64" t="s">
        <v>65</v>
      </c>
      <c r="G56" s="65" t="s">
        <v>66</v>
      </c>
      <c r="H56" s="66"/>
      <c r="I56" s="67">
        <v>5.16</v>
      </c>
      <c r="J56" s="48">
        <f t="shared" si="11"/>
        <v>5.16</v>
      </c>
      <c r="K56" s="68" t="s">
        <v>48</v>
      </c>
      <c r="L56" s="69">
        <v>5.16</v>
      </c>
      <c r="M56" s="69"/>
      <c r="N56" s="69"/>
      <c r="O56" s="69"/>
      <c r="P56" s="69"/>
      <c r="Q56" s="142"/>
      <c r="R56" s="142"/>
      <c r="S56" s="142"/>
      <c r="T56" s="69"/>
      <c r="U56" s="69"/>
      <c r="V56" s="69"/>
      <c r="W56" s="69"/>
      <c r="X56" s="69"/>
      <c r="Y56" s="69"/>
      <c r="Z56" s="69"/>
      <c r="AA56" s="69"/>
      <c r="AB56" s="71"/>
      <c r="AC56" s="53">
        <f t="shared" si="1"/>
        <v>5.16</v>
      </c>
    </row>
    <row r="57" spans="1:29" ht="14" x14ac:dyDescent="0.3">
      <c r="A57" s="95">
        <v>44382</v>
      </c>
      <c r="B57" s="72">
        <v>800</v>
      </c>
      <c r="C57" s="44" t="s">
        <v>43</v>
      </c>
      <c r="D57" s="82" t="s">
        <v>120</v>
      </c>
      <c r="E57" s="82" t="s">
        <v>101</v>
      </c>
      <c r="F57" s="82" t="s">
        <v>124</v>
      </c>
      <c r="G57" s="101" t="s">
        <v>114</v>
      </c>
      <c r="H57" s="77"/>
      <c r="I57" s="143">
        <v>25</v>
      </c>
      <c r="J57" s="144">
        <f t="shared" si="11"/>
        <v>25</v>
      </c>
      <c r="K57" s="75" t="s">
        <v>48</v>
      </c>
      <c r="L57" s="96"/>
      <c r="M57" s="96">
        <v>25</v>
      </c>
      <c r="N57" s="96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71"/>
      <c r="AC57" s="53">
        <f t="shared" si="1"/>
        <v>25</v>
      </c>
    </row>
    <row r="58" spans="1:29" ht="14" x14ac:dyDescent="0.3">
      <c r="A58" s="95">
        <v>44382</v>
      </c>
      <c r="B58" s="72">
        <v>801</v>
      </c>
      <c r="C58" s="44" t="s">
        <v>86</v>
      </c>
      <c r="D58" s="82" t="s">
        <v>120</v>
      </c>
      <c r="E58" s="82" t="s">
        <v>125</v>
      </c>
      <c r="F58" s="82" t="s">
        <v>126</v>
      </c>
      <c r="G58" s="49" t="s">
        <v>89</v>
      </c>
      <c r="H58" s="46">
        <v>90</v>
      </c>
      <c r="I58" s="145">
        <v>540</v>
      </c>
      <c r="J58" s="92">
        <f t="shared" si="11"/>
        <v>540</v>
      </c>
      <c r="K58" s="93" t="s">
        <v>48</v>
      </c>
      <c r="L58" s="59"/>
      <c r="M58" s="59"/>
      <c r="N58" s="59"/>
      <c r="O58" s="69"/>
      <c r="P58" s="69"/>
      <c r="Q58" s="69"/>
      <c r="R58" s="69"/>
      <c r="S58" s="69"/>
      <c r="T58" s="69">
        <v>450</v>
      </c>
      <c r="U58" s="69"/>
      <c r="V58" s="69"/>
      <c r="W58" s="69"/>
      <c r="X58" s="69"/>
      <c r="Y58" s="69"/>
      <c r="Z58" s="69"/>
      <c r="AA58" s="69"/>
      <c r="AB58" s="71"/>
      <c r="AC58" s="53">
        <f t="shared" si="1"/>
        <v>450</v>
      </c>
    </row>
    <row r="59" spans="1:29" ht="14" x14ac:dyDescent="0.3">
      <c r="A59" s="95">
        <v>44382</v>
      </c>
      <c r="B59" s="72">
        <v>802</v>
      </c>
      <c r="C59" s="44" t="s">
        <v>43</v>
      </c>
      <c r="D59" s="82" t="s">
        <v>120</v>
      </c>
      <c r="E59" s="64" t="s">
        <v>93</v>
      </c>
      <c r="F59" s="64" t="s">
        <v>127</v>
      </c>
      <c r="G59" s="43" t="s">
        <v>95</v>
      </c>
      <c r="H59" s="46">
        <v>70.66</v>
      </c>
      <c r="I59" s="90">
        <v>424</v>
      </c>
      <c r="J59" s="91">
        <f>+SUM(L59:AB59)+H59</f>
        <v>424</v>
      </c>
      <c r="K59" s="85" t="s">
        <v>48</v>
      </c>
      <c r="L59" s="69"/>
      <c r="M59" s="69"/>
      <c r="N59" s="69">
        <f>176.67+176.67</f>
        <v>353.34</v>
      </c>
      <c r="O59" s="142"/>
      <c r="P59" s="142"/>
      <c r="Q59" s="142"/>
      <c r="R59" s="142"/>
      <c r="S59" s="146"/>
      <c r="T59" s="146"/>
      <c r="U59" s="146"/>
      <c r="V59" s="146"/>
      <c r="W59" s="146"/>
      <c r="X59" s="69"/>
      <c r="Y59" s="69"/>
      <c r="Z59" s="69"/>
      <c r="AA59" s="69"/>
      <c r="AB59" s="71"/>
      <c r="AC59" s="53">
        <f t="shared" si="1"/>
        <v>353.34</v>
      </c>
    </row>
    <row r="60" spans="1:29" ht="14" x14ac:dyDescent="0.3">
      <c r="A60" s="95">
        <v>44382</v>
      </c>
      <c r="B60" s="72">
        <v>802</v>
      </c>
      <c r="C60" s="44" t="s">
        <v>86</v>
      </c>
      <c r="D60" s="82" t="s">
        <v>120</v>
      </c>
      <c r="E60" s="64" t="s">
        <v>93</v>
      </c>
      <c r="F60" s="82" t="s">
        <v>128</v>
      </c>
      <c r="G60" s="75" t="s">
        <v>95</v>
      </c>
      <c r="H60" s="66">
        <v>50</v>
      </c>
      <c r="I60" s="147">
        <v>300</v>
      </c>
      <c r="J60" s="91">
        <f t="shared" ref="J60:J67" si="12">+SUM(L60:AB60)+H60</f>
        <v>300</v>
      </c>
      <c r="K60" s="85" t="s">
        <v>48</v>
      </c>
      <c r="L60" s="69"/>
      <c r="M60" s="69"/>
      <c r="N60" s="69">
        <v>250</v>
      </c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71"/>
      <c r="AC60" s="53">
        <f t="shared" si="1"/>
        <v>250</v>
      </c>
    </row>
    <row r="61" spans="1:29" ht="14" x14ac:dyDescent="0.3">
      <c r="A61" s="95">
        <v>44382</v>
      </c>
      <c r="B61" s="72">
        <v>803</v>
      </c>
      <c r="C61" s="44" t="s">
        <v>43</v>
      </c>
      <c r="D61" s="82" t="s">
        <v>120</v>
      </c>
      <c r="E61" s="64" t="s">
        <v>67</v>
      </c>
      <c r="F61" s="64" t="s">
        <v>68</v>
      </c>
      <c r="G61" s="65" t="s">
        <v>69</v>
      </c>
      <c r="H61" s="66">
        <v>22.13</v>
      </c>
      <c r="I61" s="67">
        <v>132.76</v>
      </c>
      <c r="J61" s="91">
        <f t="shared" si="12"/>
        <v>132.76</v>
      </c>
      <c r="K61" s="68" t="s">
        <v>48</v>
      </c>
      <c r="L61" s="69"/>
      <c r="M61" s="69"/>
      <c r="N61" s="69"/>
      <c r="O61" s="69">
        <v>110.63</v>
      </c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71"/>
      <c r="AC61" s="53">
        <f t="shared" si="1"/>
        <v>110.63</v>
      </c>
    </row>
    <row r="62" spans="1:29" ht="14" x14ac:dyDescent="0.3">
      <c r="A62" s="95">
        <v>44386</v>
      </c>
      <c r="B62" s="65" t="s">
        <v>73</v>
      </c>
      <c r="C62" s="44" t="s">
        <v>43</v>
      </c>
      <c r="D62" s="44" t="s">
        <v>120</v>
      </c>
      <c r="E62" s="64" t="s">
        <v>74</v>
      </c>
      <c r="F62" s="64" t="s">
        <v>75</v>
      </c>
      <c r="G62" s="76" t="s">
        <v>76</v>
      </c>
      <c r="H62" s="77">
        <v>2.09</v>
      </c>
      <c r="I62" s="78">
        <v>12.56</v>
      </c>
      <c r="J62" s="74">
        <f t="shared" ref="J62" si="13">+SUM(L62:AB62)+H62</f>
        <v>12.56</v>
      </c>
      <c r="K62" s="79" t="s">
        <v>48</v>
      </c>
      <c r="L62" s="80"/>
      <c r="M62" s="80">
        <v>10.47</v>
      </c>
      <c r="N62" s="80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71"/>
      <c r="AC62" s="53"/>
    </row>
    <row r="63" spans="1:29" ht="14" x14ac:dyDescent="0.3">
      <c r="A63" s="95">
        <v>44410</v>
      </c>
      <c r="B63" s="72">
        <v>804</v>
      </c>
      <c r="C63" s="44" t="s">
        <v>43</v>
      </c>
      <c r="D63" s="82" t="s">
        <v>120</v>
      </c>
      <c r="E63" s="82" t="s">
        <v>45</v>
      </c>
      <c r="F63" s="82" t="s">
        <v>129</v>
      </c>
      <c r="G63" s="43" t="s">
        <v>47</v>
      </c>
      <c r="H63" s="66"/>
      <c r="I63" s="47">
        <v>766.78</v>
      </c>
      <c r="J63" s="91">
        <f t="shared" si="12"/>
        <v>766.78</v>
      </c>
      <c r="K63" s="68" t="s">
        <v>48</v>
      </c>
      <c r="L63" s="69">
        <v>766.78</v>
      </c>
      <c r="M63" s="69"/>
      <c r="N63" s="69"/>
      <c r="O63" s="50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71"/>
      <c r="AC63" s="53">
        <f t="shared" si="1"/>
        <v>766.78</v>
      </c>
    </row>
    <row r="64" spans="1:29" ht="14" x14ac:dyDescent="0.3">
      <c r="A64" s="95">
        <v>44410</v>
      </c>
      <c r="B64" s="72">
        <v>804</v>
      </c>
      <c r="C64" s="44" t="s">
        <v>43</v>
      </c>
      <c r="D64" s="82" t="s">
        <v>120</v>
      </c>
      <c r="E64" s="82" t="s">
        <v>45</v>
      </c>
      <c r="F64" s="55" t="s">
        <v>130</v>
      </c>
      <c r="G64" s="43" t="s">
        <v>52</v>
      </c>
      <c r="H64" s="46">
        <v>1</v>
      </c>
      <c r="I64" s="47">
        <v>6</v>
      </c>
      <c r="J64" s="91">
        <f t="shared" si="12"/>
        <v>6</v>
      </c>
      <c r="K64" s="68" t="s">
        <v>48</v>
      </c>
      <c r="L64" s="59"/>
      <c r="M64" s="59">
        <v>5</v>
      </c>
      <c r="N64" s="59"/>
      <c r="O64" s="50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71"/>
      <c r="AC64" s="53">
        <f t="shared" si="1"/>
        <v>5</v>
      </c>
    </row>
    <row r="65" spans="1:29" ht="14" x14ac:dyDescent="0.3">
      <c r="A65" s="95">
        <v>44410</v>
      </c>
      <c r="B65" s="72">
        <v>804</v>
      </c>
      <c r="C65" s="44" t="s">
        <v>43</v>
      </c>
      <c r="D65" s="82" t="s">
        <v>120</v>
      </c>
      <c r="E65" s="82" t="s">
        <v>45</v>
      </c>
      <c r="F65" s="62" t="s">
        <v>131</v>
      </c>
      <c r="G65" s="43" t="s">
        <v>54</v>
      </c>
      <c r="H65" s="66"/>
      <c r="I65" s="47">
        <v>12.8</v>
      </c>
      <c r="J65" s="91">
        <f t="shared" si="12"/>
        <v>12.8</v>
      </c>
      <c r="K65" s="68" t="s">
        <v>48</v>
      </c>
      <c r="L65" s="69"/>
      <c r="M65" s="69">
        <v>12.8</v>
      </c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71"/>
      <c r="AC65" s="53">
        <f t="shared" si="1"/>
        <v>12.8</v>
      </c>
    </row>
    <row r="66" spans="1:29" ht="14" x14ac:dyDescent="0.3">
      <c r="A66" s="95">
        <v>44410</v>
      </c>
      <c r="B66" s="72">
        <v>804</v>
      </c>
      <c r="C66" s="44" t="s">
        <v>43</v>
      </c>
      <c r="D66" s="82" t="s">
        <v>120</v>
      </c>
      <c r="E66" s="141" t="s">
        <v>45</v>
      </c>
      <c r="F66" s="82" t="s">
        <v>132</v>
      </c>
      <c r="G66" s="72" t="s">
        <v>97</v>
      </c>
      <c r="H66" s="66"/>
      <c r="I66" s="148">
        <v>13.5</v>
      </c>
      <c r="J66" s="91">
        <f t="shared" si="12"/>
        <v>13.5</v>
      </c>
      <c r="K66" s="85" t="s">
        <v>48</v>
      </c>
      <c r="L66" s="69"/>
      <c r="M66" s="69"/>
      <c r="N66" s="69">
        <v>13.5</v>
      </c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71"/>
      <c r="AC66" s="53">
        <f t="shared" si="1"/>
        <v>13.5</v>
      </c>
    </row>
    <row r="67" spans="1:29" ht="14" x14ac:dyDescent="0.3">
      <c r="A67" s="95">
        <v>44410</v>
      </c>
      <c r="B67" s="72">
        <v>805</v>
      </c>
      <c r="C67" s="44" t="s">
        <v>43</v>
      </c>
      <c r="D67" s="82" t="s">
        <v>120</v>
      </c>
      <c r="E67" s="141" t="s">
        <v>133</v>
      </c>
      <c r="F67" s="141" t="s">
        <v>134</v>
      </c>
      <c r="G67" s="72" t="s">
        <v>135</v>
      </c>
      <c r="H67" s="66"/>
      <c r="I67" s="148">
        <v>1090.54</v>
      </c>
      <c r="J67" s="91">
        <f t="shared" si="12"/>
        <v>1090.54</v>
      </c>
      <c r="K67" s="149" t="s">
        <v>48</v>
      </c>
      <c r="L67" s="69"/>
      <c r="M67" s="69">
        <v>1090.54</v>
      </c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71"/>
      <c r="AC67" s="53">
        <f t="shared" si="1"/>
        <v>1090.54</v>
      </c>
    </row>
    <row r="68" spans="1:29" ht="14" x14ac:dyDescent="0.3">
      <c r="A68" s="95">
        <v>44410</v>
      </c>
      <c r="B68" s="72">
        <v>806</v>
      </c>
      <c r="C68" s="44" t="s">
        <v>43</v>
      </c>
      <c r="D68" s="82" t="s">
        <v>120</v>
      </c>
      <c r="E68" s="141" t="s">
        <v>67</v>
      </c>
      <c r="F68" s="82" t="s">
        <v>68</v>
      </c>
      <c r="G68" s="72" t="s">
        <v>69</v>
      </c>
      <c r="H68" s="150">
        <v>20.96</v>
      </c>
      <c r="I68" s="148">
        <v>125.76</v>
      </c>
      <c r="J68" s="151">
        <f t="shared" si="11"/>
        <v>125.75999999999999</v>
      </c>
      <c r="K68" s="149" t="s">
        <v>48</v>
      </c>
      <c r="L68" s="69"/>
      <c r="M68" s="69"/>
      <c r="N68" s="69"/>
      <c r="O68" s="69">
        <v>104.8</v>
      </c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71"/>
      <c r="AC68" s="53">
        <f t="shared" si="1"/>
        <v>104.8</v>
      </c>
    </row>
    <row r="69" spans="1:29" ht="14" x14ac:dyDescent="0.3">
      <c r="A69" s="95">
        <v>44410</v>
      </c>
      <c r="B69" s="72">
        <v>807</v>
      </c>
      <c r="C69" s="44" t="s">
        <v>43</v>
      </c>
      <c r="D69" s="82" t="s">
        <v>120</v>
      </c>
      <c r="E69" s="141" t="s">
        <v>93</v>
      </c>
      <c r="F69" s="141" t="s">
        <v>136</v>
      </c>
      <c r="G69" s="152" t="s">
        <v>95</v>
      </c>
      <c r="H69" s="66">
        <v>35.33</v>
      </c>
      <c r="I69" s="147">
        <v>212</v>
      </c>
      <c r="J69" s="151">
        <f t="shared" si="11"/>
        <v>212</v>
      </c>
      <c r="K69" s="149" t="s">
        <v>48</v>
      </c>
      <c r="L69" s="146"/>
      <c r="M69" s="146"/>
      <c r="N69" s="146">
        <v>176.67</v>
      </c>
      <c r="O69" s="146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71"/>
      <c r="AC69" s="53">
        <f t="shared" si="1"/>
        <v>176.67</v>
      </c>
    </row>
    <row r="70" spans="1:29" ht="14" x14ac:dyDescent="0.3">
      <c r="A70" s="95">
        <v>44410</v>
      </c>
      <c r="B70" s="72">
        <v>807</v>
      </c>
      <c r="C70" s="44" t="s">
        <v>43</v>
      </c>
      <c r="D70" s="82" t="s">
        <v>120</v>
      </c>
      <c r="E70" s="141" t="s">
        <v>93</v>
      </c>
      <c r="F70" s="141" t="s">
        <v>137</v>
      </c>
      <c r="G70" s="149" t="s">
        <v>92</v>
      </c>
      <c r="H70" s="66">
        <v>10</v>
      </c>
      <c r="I70" s="147">
        <v>60</v>
      </c>
      <c r="J70" s="91">
        <f t="shared" si="11"/>
        <v>60</v>
      </c>
      <c r="K70" s="85" t="s">
        <v>48</v>
      </c>
      <c r="L70" s="69"/>
      <c r="M70" s="69"/>
      <c r="N70" s="69">
        <v>50</v>
      </c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71"/>
      <c r="AC70" s="53">
        <f t="shared" si="1"/>
        <v>50</v>
      </c>
    </row>
    <row r="71" spans="1:29" ht="14" x14ac:dyDescent="0.3">
      <c r="A71" s="95">
        <v>44445</v>
      </c>
      <c r="B71" s="72">
        <v>808</v>
      </c>
      <c r="C71" s="44" t="s">
        <v>43</v>
      </c>
      <c r="D71" s="82" t="s">
        <v>120</v>
      </c>
      <c r="E71" s="82" t="s">
        <v>45</v>
      </c>
      <c r="F71" s="82" t="s">
        <v>138</v>
      </c>
      <c r="G71" s="43" t="s">
        <v>47</v>
      </c>
      <c r="H71" s="66"/>
      <c r="I71" s="47">
        <v>766.78</v>
      </c>
      <c r="J71" s="151">
        <f t="shared" si="11"/>
        <v>766.78</v>
      </c>
      <c r="K71" s="68" t="s">
        <v>48</v>
      </c>
      <c r="L71" s="69">
        <v>766.78</v>
      </c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71"/>
      <c r="AC71" s="53">
        <f t="shared" si="1"/>
        <v>766.78</v>
      </c>
    </row>
    <row r="72" spans="1:29" ht="14" x14ac:dyDescent="0.3">
      <c r="A72" s="95">
        <v>44445</v>
      </c>
      <c r="B72" s="72">
        <v>808</v>
      </c>
      <c r="C72" s="44" t="s">
        <v>43</v>
      </c>
      <c r="D72" s="82" t="s">
        <v>120</v>
      </c>
      <c r="E72" s="82" t="s">
        <v>45</v>
      </c>
      <c r="F72" s="55" t="s">
        <v>139</v>
      </c>
      <c r="G72" s="43" t="s">
        <v>52</v>
      </c>
      <c r="H72" s="46">
        <v>1</v>
      </c>
      <c r="I72" s="47">
        <v>6</v>
      </c>
      <c r="J72" s="151">
        <f t="shared" si="11"/>
        <v>6</v>
      </c>
      <c r="K72" s="68" t="s">
        <v>48</v>
      </c>
      <c r="L72" s="59"/>
      <c r="M72" s="59">
        <v>5</v>
      </c>
      <c r="N72" s="5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71"/>
      <c r="AC72" s="53">
        <f t="shared" si="1"/>
        <v>5</v>
      </c>
    </row>
    <row r="73" spans="1:29" ht="14" x14ac:dyDescent="0.3">
      <c r="A73" s="95">
        <v>44445</v>
      </c>
      <c r="B73" s="72">
        <v>808</v>
      </c>
      <c r="C73" s="44" t="s">
        <v>43</v>
      </c>
      <c r="D73" s="82" t="s">
        <v>120</v>
      </c>
      <c r="E73" s="82" t="s">
        <v>45</v>
      </c>
      <c r="F73" s="62" t="s">
        <v>140</v>
      </c>
      <c r="G73" s="43" t="s">
        <v>54</v>
      </c>
      <c r="H73" s="66"/>
      <c r="I73" s="47">
        <v>19.2</v>
      </c>
      <c r="J73" s="151">
        <f t="shared" si="11"/>
        <v>19.2</v>
      </c>
      <c r="K73" s="68" t="s">
        <v>48</v>
      </c>
      <c r="L73" s="69"/>
      <c r="M73" s="69">
        <v>19.2</v>
      </c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71"/>
      <c r="AC73" s="53">
        <f t="shared" si="1"/>
        <v>19.2</v>
      </c>
    </row>
    <row r="74" spans="1:29" ht="14" x14ac:dyDescent="0.3">
      <c r="A74" s="95">
        <v>44445</v>
      </c>
      <c r="B74" s="72">
        <v>808</v>
      </c>
      <c r="C74" s="44" t="s">
        <v>43</v>
      </c>
      <c r="D74" s="82" t="s">
        <v>120</v>
      </c>
      <c r="E74" s="45" t="s">
        <v>45</v>
      </c>
      <c r="F74" s="55" t="s">
        <v>57</v>
      </c>
      <c r="G74" s="43" t="s">
        <v>58</v>
      </c>
      <c r="H74" s="46"/>
      <c r="I74" s="47">
        <v>7.92</v>
      </c>
      <c r="J74" s="48">
        <f t="shared" si="11"/>
        <v>7.92</v>
      </c>
      <c r="K74" s="49" t="s">
        <v>48</v>
      </c>
      <c r="L74" s="50"/>
      <c r="M74" s="50">
        <v>7.92</v>
      </c>
      <c r="N74" s="50"/>
      <c r="O74" s="69"/>
      <c r="P74" s="69"/>
      <c r="Q74" s="69"/>
      <c r="R74" s="69"/>
      <c r="S74" s="69"/>
      <c r="T74" s="69"/>
      <c r="U74" s="69"/>
      <c r="V74" s="70"/>
      <c r="W74" s="69"/>
      <c r="X74" s="69"/>
      <c r="Y74" s="69"/>
      <c r="Z74" s="69"/>
      <c r="AA74" s="69"/>
      <c r="AB74" s="71"/>
      <c r="AC74" s="53">
        <f t="shared" si="1"/>
        <v>7.92</v>
      </c>
    </row>
    <row r="75" spans="1:29" ht="14" x14ac:dyDescent="0.3">
      <c r="A75" s="95">
        <v>44445</v>
      </c>
      <c r="B75" s="72">
        <v>808</v>
      </c>
      <c r="C75" s="44" t="s">
        <v>43</v>
      </c>
      <c r="D75" s="82" t="s">
        <v>120</v>
      </c>
      <c r="E75" s="45" t="s">
        <v>45</v>
      </c>
      <c r="F75" s="141" t="s">
        <v>141</v>
      </c>
      <c r="G75" s="72" t="s">
        <v>89</v>
      </c>
      <c r="H75" s="66">
        <f>0.96+1.42</f>
        <v>2.38</v>
      </c>
      <c r="I75" s="153">
        <f>5.76+8.49</f>
        <v>14.25</v>
      </c>
      <c r="J75" s="48">
        <f t="shared" si="11"/>
        <v>14.25</v>
      </c>
      <c r="K75" s="149" t="s">
        <v>48</v>
      </c>
      <c r="L75" s="69"/>
      <c r="M75" s="69"/>
      <c r="N75" s="69"/>
      <c r="O75" s="69"/>
      <c r="P75" s="69"/>
      <c r="Q75" s="69"/>
      <c r="R75" s="69"/>
      <c r="S75" s="69"/>
      <c r="T75" s="69">
        <f>4.8+7.07</f>
        <v>11.870000000000001</v>
      </c>
      <c r="U75" s="69"/>
      <c r="V75" s="70"/>
      <c r="W75" s="69"/>
      <c r="X75" s="69"/>
      <c r="Y75" s="69"/>
      <c r="Z75" s="69"/>
      <c r="AA75" s="69"/>
      <c r="AB75" s="71"/>
      <c r="AC75" s="53">
        <f t="shared" ref="AC75:AC106" si="14">SUM(L75:AB75)</f>
        <v>11.870000000000001</v>
      </c>
    </row>
    <row r="76" spans="1:29" ht="14" x14ac:dyDescent="0.3">
      <c r="A76" s="95">
        <v>44445</v>
      </c>
      <c r="B76" s="72">
        <v>809</v>
      </c>
      <c r="C76" s="44" t="s">
        <v>43</v>
      </c>
      <c r="D76" s="82" t="s">
        <v>120</v>
      </c>
      <c r="E76" s="141" t="s">
        <v>142</v>
      </c>
      <c r="F76" s="141" t="s">
        <v>143</v>
      </c>
      <c r="G76" s="72" t="s">
        <v>85</v>
      </c>
      <c r="H76" s="66">
        <v>60</v>
      </c>
      <c r="I76" s="153">
        <v>360</v>
      </c>
      <c r="J76" s="48">
        <f t="shared" si="11"/>
        <v>360</v>
      </c>
      <c r="K76" s="75" t="s">
        <v>48</v>
      </c>
      <c r="L76" s="69"/>
      <c r="M76" s="69">
        <v>300</v>
      </c>
      <c r="N76" s="69"/>
      <c r="O76" s="69"/>
      <c r="P76" s="69"/>
      <c r="Q76" s="69"/>
      <c r="R76" s="69"/>
      <c r="S76" s="69"/>
      <c r="T76" s="69"/>
      <c r="U76" s="69"/>
      <c r="V76" s="70"/>
      <c r="W76" s="69"/>
      <c r="X76" s="69"/>
      <c r="Y76" s="69"/>
      <c r="Z76" s="69"/>
      <c r="AA76" s="69"/>
      <c r="AB76" s="71"/>
      <c r="AC76" s="53">
        <f t="shared" si="14"/>
        <v>300</v>
      </c>
    </row>
    <row r="77" spans="1:29" ht="14" x14ac:dyDescent="0.3">
      <c r="A77" s="95">
        <v>44445</v>
      </c>
      <c r="B77" s="72">
        <v>810</v>
      </c>
      <c r="C77" s="44" t="s">
        <v>43</v>
      </c>
      <c r="D77" s="82" t="s">
        <v>120</v>
      </c>
      <c r="E77" s="141" t="s">
        <v>144</v>
      </c>
      <c r="F77" s="141" t="s">
        <v>145</v>
      </c>
      <c r="G77" s="72" t="s">
        <v>108</v>
      </c>
      <c r="H77" s="66"/>
      <c r="I77" s="153">
        <v>60</v>
      </c>
      <c r="J77" s="48">
        <f t="shared" si="11"/>
        <v>60</v>
      </c>
      <c r="K77" s="75" t="s">
        <v>48</v>
      </c>
      <c r="L77" s="69"/>
      <c r="M77" s="69">
        <v>60</v>
      </c>
      <c r="N77" s="69"/>
      <c r="O77" s="69"/>
      <c r="P77" s="69"/>
      <c r="Q77" s="69"/>
      <c r="R77" s="69"/>
      <c r="S77" s="69"/>
      <c r="T77" s="69"/>
      <c r="U77" s="69"/>
      <c r="V77" s="70"/>
      <c r="W77" s="69"/>
      <c r="X77" s="69"/>
      <c r="Y77" s="69"/>
      <c r="Z77" s="69"/>
      <c r="AA77" s="69"/>
      <c r="AB77" s="71"/>
      <c r="AC77" s="53">
        <f t="shared" si="14"/>
        <v>60</v>
      </c>
    </row>
    <row r="78" spans="1:29" ht="14" x14ac:dyDescent="0.3">
      <c r="A78" s="95">
        <v>44445</v>
      </c>
      <c r="B78" s="72">
        <v>811</v>
      </c>
      <c r="C78" s="44" t="s">
        <v>86</v>
      </c>
      <c r="D78" s="82" t="s">
        <v>120</v>
      </c>
      <c r="E78" s="141" t="s">
        <v>146</v>
      </c>
      <c r="F78" s="141" t="s">
        <v>147</v>
      </c>
      <c r="G78" s="72" t="s">
        <v>89</v>
      </c>
      <c r="H78" s="66">
        <f>7.82+8.46</f>
        <v>16.28</v>
      </c>
      <c r="I78" s="153">
        <f>46.89+50.75</f>
        <v>97.64</v>
      </c>
      <c r="J78" s="48">
        <f t="shared" si="11"/>
        <v>97.64</v>
      </c>
      <c r="K78" s="75" t="s">
        <v>48</v>
      </c>
      <c r="L78" s="69"/>
      <c r="M78" s="69"/>
      <c r="N78" s="69"/>
      <c r="O78" s="69"/>
      <c r="P78" s="69"/>
      <c r="Q78" s="69"/>
      <c r="R78" s="69"/>
      <c r="S78" s="69"/>
      <c r="T78" s="69">
        <f>39.07+42.29</f>
        <v>81.36</v>
      </c>
      <c r="U78" s="69"/>
      <c r="V78" s="70"/>
      <c r="W78" s="69"/>
      <c r="X78" s="69"/>
      <c r="Y78" s="69"/>
      <c r="Z78" s="69"/>
      <c r="AA78" s="69"/>
      <c r="AB78" s="71"/>
      <c r="AC78" s="53">
        <f t="shared" si="14"/>
        <v>81.36</v>
      </c>
    </row>
    <row r="79" spans="1:29" ht="14" x14ac:dyDescent="0.3">
      <c r="A79" s="95">
        <v>44445</v>
      </c>
      <c r="B79" s="72">
        <v>812</v>
      </c>
      <c r="C79" s="44" t="s">
        <v>43</v>
      </c>
      <c r="D79" s="82" t="s">
        <v>120</v>
      </c>
      <c r="E79" s="141" t="s">
        <v>148</v>
      </c>
      <c r="F79" s="141" t="s">
        <v>149</v>
      </c>
      <c r="G79" s="72" t="s">
        <v>69</v>
      </c>
      <c r="H79" s="66">
        <v>17.48</v>
      </c>
      <c r="I79" s="153">
        <v>104.86</v>
      </c>
      <c r="J79" s="48">
        <f t="shared" si="11"/>
        <v>104.86</v>
      </c>
      <c r="K79" s="75" t="s">
        <v>48</v>
      </c>
      <c r="L79" s="69"/>
      <c r="M79" s="69"/>
      <c r="N79" s="69"/>
      <c r="O79" s="69">
        <v>87.38</v>
      </c>
      <c r="P79" s="69"/>
      <c r="Q79" s="69"/>
      <c r="R79" s="69"/>
      <c r="S79" s="69"/>
      <c r="T79" s="69"/>
      <c r="U79" s="69"/>
      <c r="V79" s="70"/>
      <c r="W79" s="69"/>
      <c r="X79" s="69"/>
      <c r="Y79" s="69"/>
      <c r="Z79" s="69"/>
      <c r="AA79" s="69"/>
      <c r="AB79" s="71"/>
      <c r="AC79" s="53">
        <f t="shared" si="14"/>
        <v>87.38</v>
      </c>
    </row>
    <row r="80" spans="1:29" ht="14" x14ac:dyDescent="0.3">
      <c r="A80" s="95">
        <v>44445</v>
      </c>
      <c r="B80" s="72">
        <v>813</v>
      </c>
      <c r="C80" s="44" t="s">
        <v>43</v>
      </c>
      <c r="D80" s="82" t="s">
        <v>120</v>
      </c>
      <c r="E80" s="141" t="s">
        <v>93</v>
      </c>
      <c r="F80" s="141" t="s">
        <v>150</v>
      </c>
      <c r="G80" s="72" t="s">
        <v>95</v>
      </c>
      <c r="H80" s="66">
        <v>35.33</v>
      </c>
      <c r="I80" s="153">
        <v>212</v>
      </c>
      <c r="J80" s="154">
        <f t="shared" si="11"/>
        <v>212</v>
      </c>
      <c r="K80" s="149" t="s">
        <v>48</v>
      </c>
      <c r="L80" s="69"/>
      <c r="M80" s="69"/>
      <c r="N80" s="69">
        <v>176.67</v>
      </c>
      <c r="O80" s="69"/>
      <c r="P80" s="69"/>
      <c r="Q80" s="69"/>
      <c r="R80" s="69"/>
      <c r="S80" s="69"/>
      <c r="T80" s="69"/>
      <c r="U80" s="69"/>
      <c r="V80" s="70"/>
      <c r="W80" s="69"/>
      <c r="X80" s="69"/>
      <c r="Y80" s="69"/>
      <c r="Z80" s="69"/>
      <c r="AA80" s="69"/>
      <c r="AB80" s="71"/>
      <c r="AC80" s="53">
        <f t="shared" si="14"/>
        <v>176.67</v>
      </c>
    </row>
    <row r="81" spans="1:29" ht="14" x14ac:dyDescent="0.3">
      <c r="A81" s="95">
        <v>44448</v>
      </c>
      <c r="B81" s="72">
        <v>816</v>
      </c>
      <c r="C81" s="44" t="s">
        <v>86</v>
      </c>
      <c r="D81" s="82" t="s">
        <v>120</v>
      </c>
      <c r="E81" s="141" t="s">
        <v>151</v>
      </c>
      <c r="F81" s="141" t="s">
        <v>152</v>
      </c>
      <c r="G81" s="72" t="s">
        <v>89</v>
      </c>
      <c r="H81" s="66">
        <v>6089</v>
      </c>
      <c r="I81" s="153">
        <v>36534</v>
      </c>
      <c r="J81" s="48">
        <f t="shared" si="11"/>
        <v>36534</v>
      </c>
      <c r="K81" s="75" t="s">
        <v>48</v>
      </c>
      <c r="L81" s="69"/>
      <c r="M81" s="69"/>
      <c r="N81" s="69"/>
      <c r="O81" s="69"/>
      <c r="P81" s="69"/>
      <c r="Q81" s="69"/>
      <c r="R81" s="69"/>
      <c r="S81" s="69"/>
      <c r="T81" s="69">
        <v>30445</v>
      </c>
      <c r="U81" s="69"/>
      <c r="V81" s="70"/>
      <c r="W81" s="69"/>
      <c r="X81" s="69"/>
      <c r="Y81" s="69"/>
      <c r="Z81" s="69"/>
      <c r="AA81" s="69"/>
      <c r="AB81" s="71"/>
      <c r="AC81" s="53">
        <f t="shared" si="14"/>
        <v>30445</v>
      </c>
    </row>
    <row r="82" spans="1:29" ht="14" x14ac:dyDescent="0.3">
      <c r="A82" s="81">
        <v>44466</v>
      </c>
      <c r="B82" s="72">
        <v>818</v>
      </c>
      <c r="C82" s="44" t="s">
        <v>86</v>
      </c>
      <c r="D82" s="82" t="s">
        <v>120</v>
      </c>
      <c r="E82" s="141" t="s">
        <v>151</v>
      </c>
      <c r="F82" s="141" t="s">
        <v>153</v>
      </c>
      <c r="G82" s="152" t="s">
        <v>89</v>
      </c>
      <c r="H82" s="66">
        <v>6700</v>
      </c>
      <c r="I82" s="155">
        <v>40200</v>
      </c>
      <c r="J82" s="154">
        <f t="shared" si="11"/>
        <v>40200</v>
      </c>
      <c r="K82" s="156" t="s">
        <v>48</v>
      </c>
      <c r="L82" s="80"/>
      <c r="M82" s="80"/>
      <c r="N82" s="80"/>
      <c r="O82" s="69"/>
      <c r="P82" s="69"/>
      <c r="Q82" s="70"/>
      <c r="R82" s="69"/>
      <c r="S82" s="69"/>
      <c r="T82" s="69">
        <v>33500</v>
      </c>
      <c r="U82" s="69"/>
      <c r="V82" s="69"/>
      <c r="W82" s="69"/>
      <c r="X82" s="69"/>
      <c r="Y82" s="69"/>
      <c r="Z82" s="69"/>
      <c r="AA82" s="69"/>
      <c r="AB82" s="71"/>
      <c r="AC82" s="53">
        <f t="shared" si="14"/>
        <v>33500</v>
      </c>
    </row>
    <row r="83" spans="1:29" ht="14" x14ac:dyDescent="0.3">
      <c r="A83" s="81">
        <v>44441</v>
      </c>
      <c r="B83" s="65" t="s">
        <v>73</v>
      </c>
      <c r="C83" s="44" t="s">
        <v>43</v>
      </c>
      <c r="D83" s="44" t="s">
        <v>120</v>
      </c>
      <c r="E83" s="64" t="s">
        <v>74</v>
      </c>
      <c r="F83" s="64" t="s">
        <v>154</v>
      </c>
      <c r="G83" s="76" t="s">
        <v>76</v>
      </c>
      <c r="H83" s="77">
        <v>1.44</v>
      </c>
      <c r="I83" s="78">
        <v>8.64</v>
      </c>
      <c r="J83" s="73">
        <f t="shared" ref="J83:J84" si="15">+SUM(L83:AB83)+H83</f>
        <v>8.64</v>
      </c>
      <c r="K83" s="79" t="s">
        <v>48</v>
      </c>
      <c r="L83" s="80"/>
      <c r="M83" s="80">
        <v>7.2</v>
      </c>
      <c r="N83" s="80"/>
      <c r="O83" s="69"/>
      <c r="P83" s="69"/>
      <c r="Q83" s="69"/>
      <c r="R83" s="69"/>
      <c r="S83" s="69"/>
      <c r="T83" s="69"/>
      <c r="U83" s="69"/>
      <c r="V83" s="70"/>
      <c r="W83" s="69"/>
      <c r="X83" s="69"/>
      <c r="Y83" s="69"/>
      <c r="Z83" s="69"/>
      <c r="AA83" s="69"/>
      <c r="AB83" s="71"/>
      <c r="AC83" s="53">
        <f t="shared" si="14"/>
        <v>7.2</v>
      </c>
    </row>
    <row r="84" spans="1:29" ht="14" x14ac:dyDescent="0.3">
      <c r="A84" s="157">
        <v>44452</v>
      </c>
      <c r="B84" s="158" t="s">
        <v>73</v>
      </c>
      <c r="C84" s="99" t="s">
        <v>43</v>
      </c>
      <c r="D84" s="99" t="s">
        <v>120</v>
      </c>
      <c r="E84" s="159" t="s">
        <v>155</v>
      </c>
      <c r="F84" s="159" t="s">
        <v>156</v>
      </c>
      <c r="G84" s="76" t="s">
        <v>157</v>
      </c>
      <c r="H84" s="77"/>
      <c r="I84" s="160">
        <v>150</v>
      </c>
      <c r="J84" s="73">
        <f t="shared" si="15"/>
        <v>150</v>
      </c>
      <c r="K84" s="161" t="s">
        <v>48</v>
      </c>
      <c r="L84" s="113"/>
      <c r="M84" s="113">
        <v>150</v>
      </c>
      <c r="N84" s="113"/>
      <c r="O84" s="97"/>
      <c r="P84" s="97"/>
      <c r="Q84" s="97"/>
      <c r="R84" s="97"/>
      <c r="S84" s="97"/>
      <c r="T84" s="97"/>
      <c r="U84" s="97"/>
      <c r="V84" s="162"/>
      <c r="W84" s="97"/>
      <c r="X84" s="97"/>
      <c r="Y84" s="97"/>
      <c r="Z84" s="97"/>
      <c r="AA84" s="97"/>
      <c r="AB84" s="98"/>
      <c r="AC84" s="53">
        <v>150</v>
      </c>
    </row>
    <row r="85" spans="1:29" ht="14.5" thickBot="1" x14ac:dyDescent="0.35">
      <c r="A85" s="117"/>
      <c r="B85" s="118"/>
      <c r="C85" s="119"/>
      <c r="D85" s="117"/>
      <c r="E85" s="117"/>
      <c r="F85" s="117" t="s">
        <v>158</v>
      </c>
      <c r="G85" s="117"/>
      <c r="H85" s="120">
        <f>+SUM(H52:H83)</f>
        <v>13226.08</v>
      </c>
      <c r="I85" s="163">
        <f>SUM(I52:I84)</f>
        <v>83064.849999999991</v>
      </c>
      <c r="J85" s="164">
        <f>SUM(J52:J84)</f>
        <v>83064.849999999991</v>
      </c>
      <c r="K85" s="165"/>
      <c r="L85" s="166">
        <f t="shared" ref="L85:AB85" si="16">+SUM(L52:L83)</f>
        <v>2305.5</v>
      </c>
      <c r="M85" s="166">
        <f>+SUM(M52:M84)</f>
        <v>1722.0500000000002</v>
      </c>
      <c r="N85" s="166">
        <f t="shared" si="16"/>
        <v>1020.1799999999998</v>
      </c>
      <c r="O85" s="166">
        <f t="shared" si="16"/>
        <v>302.81</v>
      </c>
      <c r="P85" s="166">
        <f t="shared" si="16"/>
        <v>0</v>
      </c>
      <c r="Q85" s="166">
        <f t="shared" si="16"/>
        <v>0</v>
      </c>
      <c r="R85" s="166">
        <f t="shared" si="16"/>
        <v>0</v>
      </c>
      <c r="S85" s="166">
        <f t="shared" si="16"/>
        <v>0</v>
      </c>
      <c r="T85" s="166">
        <f t="shared" si="16"/>
        <v>64488.229999999996</v>
      </c>
      <c r="U85" s="166">
        <f t="shared" si="16"/>
        <v>0</v>
      </c>
      <c r="V85" s="166">
        <f t="shared" si="16"/>
        <v>0</v>
      </c>
      <c r="W85" s="166">
        <f t="shared" si="16"/>
        <v>0</v>
      </c>
      <c r="X85" s="166">
        <f t="shared" si="16"/>
        <v>0</v>
      </c>
      <c r="Y85" s="166">
        <f t="shared" si="16"/>
        <v>0</v>
      </c>
      <c r="Z85" s="166">
        <f t="shared" si="16"/>
        <v>0</v>
      </c>
      <c r="AA85" s="166">
        <f t="shared" si="16"/>
        <v>0</v>
      </c>
      <c r="AB85" s="167">
        <f t="shared" si="16"/>
        <v>0</v>
      </c>
      <c r="AC85" s="53">
        <f>SUM(L85:AB85)</f>
        <v>69838.76999999999</v>
      </c>
    </row>
    <row r="86" spans="1:29" ht="14" x14ac:dyDescent="0.3">
      <c r="A86" s="168"/>
      <c r="B86" s="169"/>
      <c r="C86" s="170"/>
      <c r="D86" s="168"/>
      <c r="E86" s="168"/>
      <c r="F86" s="168"/>
      <c r="G86" s="168"/>
      <c r="H86" s="171"/>
      <c r="I86" s="172"/>
      <c r="J86" s="173"/>
      <c r="K86" s="174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6"/>
      <c r="AC86" s="53">
        <f t="shared" ref="AC86:AC165" si="17">SUM(L86:AB86)</f>
        <v>0</v>
      </c>
    </row>
    <row r="87" spans="1:29" ht="14.5" thickBot="1" x14ac:dyDescent="0.35">
      <c r="A87" s="100"/>
      <c r="B87" s="103"/>
      <c r="C87" s="99"/>
      <c r="D87" s="100"/>
      <c r="E87" s="100"/>
      <c r="F87" s="100"/>
      <c r="G87" s="100"/>
      <c r="H87" s="177">
        <f>+H47+H85</f>
        <v>13773.01</v>
      </c>
      <c r="I87" s="178">
        <f>+I47+I85</f>
        <v>91171.709999999992</v>
      </c>
      <c r="J87" s="179">
        <f>+SUM(L87:AB87)+H87</f>
        <v>91171.709999999977</v>
      </c>
      <c r="K87" s="180"/>
      <c r="L87" s="181">
        <f t="shared" ref="L87:AB87" si="18">+L47+L85</f>
        <v>6360.21</v>
      </c>
      <c r="M87" s="181">
        <f t="shared" si="18"/>
        <v>2382.6800000000003</v>
      </c>
      <c r="N87" s="181">
        <f t="shared" si="18"/>
        <v>2018.0199999999998</v>
      </c>
      <c r="O87" s="181">
        <f t="shared" si="18"/>
        <v>615.54999999999995</v>
      </c>
      <c r="P87" s="181">
        <f t="shared" si="18"/>
        <v>563.24</v>
      </c>
      <c r="Q87" s="181">
        <f t="shared" si="18"/>
        <v>0</v>
      </c>
      <c r="R87" s="181">
        <f t="shared" si="18"/>
        <v>13.92</v>
      </c>
      <c r="S87" s="181">
        <f t="shared" si="18"/>
        <v>21.7</v>
      </c>
      <c r="T87" s="181">
        <f t="shared" si="18"/>
        <v>65208.229999999996</v>
      </c>
      <c r="U87" s="181">
        <f t="shared" si="18"/>
        <v>215.14999999999998</v>
      </c>
      <c r="V87" s="181">
        <f t="shared" si="18"/>
        <v>0</v>
      </c>
      <c r="W87" s="181">
        <f t="shared" si="18"/>
        <v>0</v>
      </c>
      <c r="X87" s="181">
        <f t="shared" si="18"/>
        <v>0</v>
      </c>
      <c r="Y87" s="181">
        <f t="shared" si="18"/>
        <v>0</v>
      </c>
      <c r="Z87" s="181">
        <f t="shared" si="18"/>
        <v>0</v>
      </c>
      <c r="AA87" s="181">
        <f t="shared" si="18"/>
        <v>0</v>
      </c>
      <c r="AB87" s="182">
        <f t="shared" si="18"/>
        <v>0</v>
      </c>
      <c r="AC87" s="53">
        <f t="shared" si="17"/>
        <v>77398.699999999983</v>
      </c>
    </row>
    <row r="88" spans="1:29" ht="14" x14ac:dyDescent="0.3">
      <c r="A88" s="183" t="s">
        <v>18</v>
      </c>
      <c r="B88" s="184" t="s">
        <v>19</v>
      </c>
      <c r="C88" s="185" t="s">
        <v>119</v>
      </c>
      <c r="D88" s="184" t="s">
        <v>21</v>
      </c>
      <c r="E88" s="184" t="s">
        <v>22</v>
      </c>
      <c r="F88" s="184" t="s">
        <v>23</v>
      </c>
      <c r="G88" s="184" t="s">
        <v>24</v>
      </c>
      <c r="H88" s="186" t="s">
        <v>4</v>
      </c>
      <c r="I88" s="187" t="s">
        <v>26</v>
      </c>
      <c r="J88" s="25" t="s">
        <v>27</v>
      </c>
      <c r="K88" s="188" t="s">
        <v>28</v>
      </c>
      <c r="L88" s="184" t="str">
        <f t="shared" ref="L88:AB88" si="19">L7</f>
        <v>STAFF COSTS</v>
      </c>
      <c r="M88" s="184" t="str">
        <f t="shared" si="19"/>
        <v>ADMINISTRATION COSTS</v>
      </c>
      <c r="N88" s="184" t="str">
        <f t="shared" si="19"/>
        <v>PARK &amp; OPEN SPACES</v>
      </c>
      <c r="O88" s="184" t="str">
        <f t="shared" si="19"/>
        <v>CHURCHYARD</v>
      </c>
      <c r="P88" s="184" t="str">
        <f t="shared" si="19"/>
        <v>SUBSCRIPTIONS</v>
      </c>
      <c r="Q88" s="184" t="str">
        <f t="shared" si="19"/>
        <v xml:space="preserve">GRANTS &amp; DONATIONS </v>
      </c>
      <c r="R88" s="184" t="str">
        <f t="shared" si="19"/>
        <v>OTHER</v>
      </c>
      <c r="S88" s="184" t="str">
        <f t="shared" si="19"/>
        <v>CONTINGENCY</v>
      </c>
      <c r="T88" s="184" t="str">
        <f t="shared" si="19"/>
        <v>EARMARKED RESERVE FUNDS</v>
      </c>
      <c r="U88" s="184" t="str">
        <f t="shared" si="19"/>
        <v xml:space="preserve">CAPITAL </v>
      </c>
      <c r="V88" s="184">
        <f t="shared" si="19"/>
        <v>0</v>
      </c>
      <c r="W88" s="184">
        <f t="shared" si="19"/>
        <v>0</v>
      </c>
      <c r="X88" s="184">
        <f t="shared" si="19"/>
        <v>0</v>
      </c>
      <c r="Y88" s="184" t="str">
        <f t="shared" si="19"/>
        <v>Cap Project</v>
      </c>
      <c r="Z88" s="184" t="str">
        <f t="shared" si="19"/>
        <v>Cap Project</v>
      </c>
      <c r="AA88" s="184" t="str">
        <f t="shared" si="19"/>
        <v>Cap Project</v>
      </c>
      <c r="AB88" s="189" t="str">
        <f t="shared" si="19"/>
        <v>Other</v>
      </c>
      <c r="AC88" s="53">
        <f t="shared" si="17"/>
        <v>0</v>
      </c>
    </row>
    <row r="89" spans="1:29" ht="14.5" thickBot="1" x14ac:dyDescent="0.35">
      <c r="A89" s="190"/>
      <c r="B89" s="191"/>
      <c r="C89" s="192"/>
      <c r="D89" s="191"/>
      <c r="E89" s="191"/>
      <c r="F89" s="191"/>
      <c r="G89" s="191"/>
      <c r="H89" s="193"/>
      <c r="I89" s="194"/>
      <c r="J89" s="195" t="s">
        <v>26</v>
      </c>
      <c r="K89" s="196"/>
      <c r="L89" s="191" t="s">
        <v>8</v>
      </c>
      <c r="M89" s="191" t="s">
        <v>9</v>
      </c>
      <c r="N89" s="191" t="s">
        <v>10</v>
      </c>
      <c r="O89" s="191" t="s">
        <v>11</v>
      </c>
      <c r="P89" s="191" t="s">
        <v>12</v>
      </c>
      <c r="Q89" s="191" t="s">
        <v>13</v>
      </c>
      <c r="R89" s="191" t="s">
        <v>14</v>
      </c>
      <c r="S89" s="191" t="s">
        <v>15</v>
      </c>
      <c r="T89" s="191" t="s">
        <v>16</v>
      </c>
      <c r="U89" s="191" t="s">
        <v>17</v>
      </c>
      <c r="V89" s="191" t="s">
        <v>36</v>
      </c>
      <c r="W89" s="191" t="s">
        <v>37</v>
      </c>
      <c r="X89" s="191" t="s">
        <v>38</v>
      </c>
      <c r="Y89" s="191" t="s">
        <v>39</v>
      </c>
      <c r="Z89" s="191" t="s">
        <v>40</v>
      </c>
      <c r="AA89" s="191" t="s">
        <v>41</v>
      </c>
      <c r="AB89" s="197" t="s">
        <v>42</v>
      </c>
      <c r="AC89" s="53">
        <f t="shared" si="17"/>
        <v>0</v>
      </c>
    </row>
    <row r="90" spans="1:29" ht="14" x14ac:dyDescent="0.3">
      <c r="A90" s="81">
        <v>44473</v>
      </c>
      <c r="B90" s="87">
        <v>819</v>
      </c>
      <c r="C90" s="88" t="s">
        <v>43</v>
      </c>
      <c r="D90" s="89" t="s">
        <v>159</v>
      </c>
      <c r="E90" s="82" t="s">
        <v>45</v>
      </c>
      <c r="F90" s="82" t="s">
        <v>160</v>
      </c>
      <c r="G90" s="43" t="s">
        <v>47</v>
      </c>
      <c r="H90" s="66"/>
      <c r="I90" s="198">
        <v>766.78</v>
      </c>
      <c r="J90" s="199">
        <f t="shared" ref="J90:J121" si="20">+SUM(L90:AB90)+H90</f>
        <v>766.78</v>
      </c>
      <c r="K90" s="68" t="s">
        <v>48</v>
      </c>
      <c r="L90" s="69">
        <v>766.78</v>
      </c>
      <c r="M90" s="69"/>
      <c r="N90" s="69"/>
      <c r="O90" s="50"/>
      <c r="P90" s="50"/>
      <c r="Q90" s="69"/>
      <c r="R90" s="69"/>
      <c r="S90" s="69"/>
      <c r="T90" s="69"/>
      <c r="U90" s="69"/>
      <c r="V90" s="70"/>
      <c r="W90" s="69"/>
      <c r="X90" s="200"/>
      <c r="Y90" s="200"/>
      <c r="Z90" s="200"/>
      <c r="AA90" s="200"/>
      <c r="AB90" s="201"/>
      <c r="AC90" s="53">
        <f t="shared" si="17"/>
        <v>766.78</v>
      </c>
    </row>
    <row r="91" spans="1:29" s="54" customFormat="1" ht="14" x14ac:dyDescent="0.3">
      <c r="A91" s="81">
        <v>44473</v>
      </c>
      <c r="B91" s="87">
        <v>819</v>
      </c>
      <c r="C91" s="88" t="s">
        <v>43</v>
      </c>
      <c r="D91" s="89" t="s">
        <v>159</v>
      </c>
      <c r="E91" s="82" t="s">
        <v>45</v>
      </c>
      <c r="F91" s="55" t="s">
        <v>161</v>
      </c>
      <c r="G91" s="43" t="s">
        <v>52</v>
      </c>
      <c r="H91" s="46">
        <v>1</v>
      </c>
      <c r="I91" s="198">
        <v>6</v>
      </c>
      <c r="J91" s="202">
        <f t="shared" si="20"/>
        <v>6</v>
      </c>
      <c r="K91" s="68" t="s">
        <v>48</v>
      </c>
      <c r="L91" s="59"/>
      <c r="M91" s="59">
        <v>5</v>
      </c>
      <c r="N91" s="59"/>
      <c r="O91" s="50"/>
      <c r="P91" s="50"/>
      <c r="Q91" s="50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71"/>
      <c r="AC91" s="53">
        <f t="shared" si="17"/>
        <v>5</v>
      </c>
    </row>
    <row r="92" spans="1:29" ht="14" x14ac:dyDescent="0.3">
      <c r="A92" s="81">
        <v>44473</v>
      </c>
      <c r="B92" s="87">
        <v>819</v>
      </c>
      <c r="C92" s="88" t="s">
        <v>43</v>
      </c>
      <c r="D92" s="89" t="s">
        <v>159</v>
      </c>
      <c r="E92" s="82" t="s">
        <v>45</v>
      </c>
      <c r="F92" s="62" t="s">
        <v>162</v>
      </c>
      <c r="G92" s="43" t="s">
        <v>54</v>
      </c>
      <c r="H92" s="66"/>
      <c r="I92" s="198">
        <v>28.8</v>
      </c>
      <c r="J92" s="202">
        <f t="shared" si="20"/>
        <v>28.8</v>
      </c>
      <c r="K92" s="68" t="s">
        <v>48</v>
      </c>
      <c r="L92" s="69"/>
      <c r="M92" s="69">
        <v>28.8</v>
      </c>
      <c r="N92" s="69"/>
      <c r="O92" s="69"/>
      <c r="P92" s="69"/>
      <c r="Q92" s="50"/>
      <c r="R92" s="50"/>
      <c r="S92" s="50"/>
      <c r="T92" s="50"/>
      <c r="U92" s="50"/>
      <c r="V92" s="50"/>
      <c r="W92" s="50"/>
      <c r="X92" s="56"/>
      <c r="Y92" s="56"/>
      <c r="Z92" s="56"/>
      <c r="AA92" s="56"/>
      <c r="AB92" s="71"/>
      <c r="AC92" s="53">
        <f t="shared" si="17"/>
        <v>28.8</v>
      </c>
    </row>
    <row r="93" spans="1:29" ht="14" x14ac:dyDescent="0.3">
      <c r="A93" s="81">
        <v>44473</v>
      </c>
      <c r="B93" s="87">
        <v>819</v>
      </c>
      <c r="C93" s="88" t="s">
        <v>43</v>
      </c>
      <c r="D93" s="89" t="s">
        <v>159</v>
      </c>
      <c r="E93" s="82" t="s">
        <v>45</v>
      </c>
      <c r="F93" s="55" t="s">
        <v>57</v>
      </c>
      <c r="G93" s="43" t="s">
        <v>58</v>
      </c>
      <c r="H93" s="46"/>
      <c r="I93" s="198">
        <v>2.25</v>
      </c>
      <c r="J93" s="202">
        <f t="shared" si="20"/>
        <v>2.25</v>
      </c>
      <c r="K93" s="49" t="s">
        <v>48</v>
      </c>
      <c r="L93" s="50"/>
      <c r="M93" s="50">
        <v>2.25</v>
      </c>
      <c r="N93" s="50"/>
      <c r="O93" s="69"/>
      <c r="P93" s="69"/>
      <c r="Q93" s="50"/>
      <c r="R93" s="50"/>
      <c r="S93" s="50"/>
      <c r="T93" s="50"/>
      <c r="U93" s="50"/>
      <c r="V93" s="50"/>
      <c r="W93" s="50"/>
      <c r="X93" s="59"/>
      <c r="Y93" s="59"/>
      <c r="Z93" s="59"/>
      <c r="AA93" s="59"/>
      <c r="AB93" s="71"/>
      <c r="AC93" s="53">
        <f t="shared" si="17"/>
        <v>2.25</v>
      </c>
    </row>
    <row r="94" spans="1:29" ht="14" x14ac:dyDescent="0.3">
      <c r="A94" s="81">
        <v>44473</v>
      </c>
      <c r="B94" s="87">
        <v>819</v>
      </c>
      <c r="C94" s="88" t="s">
        <v>43</v>
      </c>
      <c r="D94" s="89" t="s">
        <v>159</v>
      </c>
      <c r="E94" s="82" t="s">
        <v>45</v>
      </c>
      <c r="F94" s="64" t="s">
        <v>163</v>
      </c>
      <c r="G94" s="65" t="s">
        <v>89</v>
      </c>
      <c r="H94" s="66">
        <v>1.68</v>
      </c>
      <c r="I94" s="203">
        <v>10.039999999999999</v>
      </c>
      <c r="J94" s="204">
        <f t="shared" si="20"/>
        <v>10.039999999999999</v>
      </c>
      <c r="K94" s="68" t="s">
        <v>48</v>
      </c>
      <c r="L94" s="69"/>
      <c r="M94" s="69"/>
      <c r="N94" s="69"/>
      <c r="O94" s="69"/>
      <c r="P94" s="69"/>
      <c r="Q94" s="50"/>
      <c r="R94" s="50"/>
      <c r="S94" s="50"/>
      <c r="T94" s="50">
        <v>8.36</v>
      </c>
      <c r="U94" s="50"/>
      <c r="V94" s="50"/>
      <c r="W94" s="50"/>
      <c r="X94" s="59"/>
      <c r="Y94" s="59"/>
      <c r="Z94" s="59"/>
      <c r="AA94" s="59"/>
      <c r="AB94" s="71"/>
      <c r="AC94" s="53">
        <f t="shared" si="17"/>
        <v>8.36</v>
      </c>
    </row>
    <row r="95" spans="1:29" ht="14" x14ac:dyDescent="0.3">
      <c r="A95" s="81">
        <v>44473</v>
      </c>
      <c r="B95" s="87">
        <v>820</v>
      </c>
      <c r="C95" s="88" t="s">
        <v>43</v>
      </c>
      <c r="D95" s="89" t="s">
        <v>159</v>
      </c>
      <c r="E95" s="141" t="s">
        <v>64</v>
      </c>
      <c r="F95" s="64" t="s">
        <v>65</v>
      </c>
      <c r="G95" s="65" t="s">
        <v>66</v>
      </c>
      <c r="H95" s="66"/>
      <c r="I95" s="203">
        <v>5.16</v>
      </c>
      <c r="J95" s="202">
        <f t="shared" si="20"/>
        <v>5.16</v>
      </c>
      <c r="K95" s="205" t="s">
        <v>48</v>
      </c>
      <c r="L95" s="69">
        <v>5.16</v>
      </c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9"/>
      <c r="Y95" s="59"/>
      <c r="Z95" s="59"/>
      <c r="AA95" s="59"/>
      <c r="AB95" s="71"/>
      <c r="AC95" s="53">
        <f t="shared" si="17"/>
        <v>5.16</v>
      </c>
    </row>
    <row r="96" spans="1:29" ht="14" x14ac:dyDescent="0.3">
      <c r="A96" s="81">
        <v>44473</v>
      </c>
      <c r="B96" s="72">
        <v>821</v>
      </c>
      <c r="C96" s="44" t="s">
        <v>43</v>
      </c>
      <c r="D96" s="89" t="s">
        <v>159</v>
      </c>
      <c r="E96" s="141" t="s">
        <v>101</v>
      </c>
      <c r="F96" s="64" t="s">
        <v>124</v>
      </c>
      <c r="G96" s="65" t="s">
        <v>164</v>
      </c>
      <c r="H96" s="66"/>
      <c r="I96" s="203">
        <v>30</v>
      </c>
      <c r="J96" s="204">
        <f t="shared" si="20"/>
        <v>30</v>
      </c>
      <c r="K96" s="205" t="s">
        <v>48</v>
      </c>
      <c r="L96" s="69"/>
      <c r="M96" s="69">
        <v>30</v>
      </c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71"/>
      <c r="AC96" s="53">
        <f t="shared" si="17"/>
        <v>30</v>
      </c>
    </row>
    <row r="97" spans="1:29" ht="14" x14ac:dyDescent="0.3">
      <c r="A97" s="81">
        <v>44473</v>
      </c>
      <c r="B97" s="72">
        <v>822</v>
      </c>
      <c r="C97" s="44" t="s">
        <v>86</v>
      </c>
      <c r="D97" s="89" t="s">
        <v>159</v>
      </c>
      <c r="E97" s="45" t="s">
        <v>151</v>
      </c>
      <c r="F97" s="82" t="s">
        <v>165</v>
      </c>
      <c r="G97" s="206" t="s">
        <v>89</v>
      </c>
      <c r="H97" s="207">
        <v>1491</v>
      </c>
      <c r="I97" s="208">
        <v>8946</v>
      </c>
      <c r="J97" s="202">
        <f t="shared" si="20"/>
        <v>8946</v>
      </c>
      <c r="K97" s="209" t="s">
        <v>48</v>
      </c>
      <c r="L97" s="69"/>
      <c r="M97" s="69"/>
      <c r="N97" s="69"/>
      <c r="O97" s="69"/>
      <c r="P97" s="69"/>
      <c r="Q97" s="69"/>
      <c r="R97" s="69"/>
      <c r="S97" s="69"/>
      <c r="T97" s="69">
        <v>7455</v>
      </c>
      <c r="U97" s="69"/>
      <c r="V97" s="69"/>
      <c r="W97" s="69"/>
      <c r="X97" s="69"/>
      <c r="Y97" s="69"/>
      <c r="Z97" s="69"/>
      <c r="AA97" s="69"/>
      <c r="AB97" s="71"/>
      <c r="AC97" s="53">
        <f t="shared" si="17"/>
        <v>7455</v>
      </c>
    </row>
    <row r="98" spans="1:29" ht="14" x14ac:dyDescent="0.3">
      <c r="A98" s="81">
        <v>44473</v>
      </c>
      <c r="B98" s="72">
        <v>823</v>
      </c>
      <c r="C98" s="44" t="s">
        <v>43</v>
      </c>
      <c r="D98" s="89" t="s">
        <v>159</v>
      </c>
      <c r="E98" s="45" t="s">
        <v>148</v>
      </c>
      <c r="F98" s="82" t="s">
        <v>166</v>
      </c>
      <c r="G98" s="72" t="s">
        <v>69</v>
      </c>
      <c r="H98" s="66">
        <v>23.33</v>
      </c>
      <c r="I98" s="153">
        <v>139.96</v>
      </c>
      <c r="J98" s="202">
        <f t="shared" si="20"/>
        <v>139.95999999999998</v>
      </c>
      <c r="K98" s="79" t="s">
        <v>48</v>
      </c>
      <c r="L98" s="69"/>
      <c r="M98" s="69"/>
      <c r="N98" s="69"/>
      <c r="O98" s="69">
        <v>116.63</v>
      </c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71"/>
      <c r="AC98" s="53">
        <f t="shared" si="17"/>
        <v>116.63</v>
      </c>
    </row>
    <row r="99" spans="1:29" ht="14" x14ac:dyDescent="0.3">
      <c r="A99" s="81">
        <v>44473</v>
      </c>
      <c r="B99" s="72">
        <v>824</v>
      </c>
      <c r="C99" s="44" t="s">
        <v>43</v>
      </c>
      <c r="D99" s="89" t="s">
        <v>159</v>
      </c>
      <c r="E99" s="82" t="s">
        <v>93</v>
      </c>
      <c r="F99" s="45" t="s">
        <v>150</v>
      </c>
      <c r="G99" s="72" t="s">
        <v>95</v>
      </c>
      <c r="H99" s="66">
        <v>35.33</v>
      </c>
      <c r="I99" s="153">
        <v>212</v>
      </c>
      <c r="J99" s="204">
        <f t="shared" si="20"/>
        <v>212</v>
      </c>
      <c r="K99" s="156" t="s">
        <v>48</v>
      </c>
      <c r="L99" s="69"/>
      <c r="M99" s="69"/>
      <c r="N99" s="69">
        <v>176.67</v>
      </c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71"/>
      <c r="AC99" s="53">
        <f t="shared" si="17"/>
        <v>176.67</v>
      </c>
    </row>
    <row r="100" spans="1:29" ht="14" x14ac:dyDescent="0.3">
      <c r="A100" s="81">
        <v>44473</v>
      </c>
      <c r="B100" s="72">
        <v>825</v>
      </c>
      <c r="C100" s="44"/>
      <c r="D100" s="89" t="s">
        <v>159</v>
      </c>
      <c r="E100" s="82" t="s">
        <v>167</v>
      </c>
      <c r="F100" s="82"/>
      <c r="G100" s="149"/>
      <c r="H100" s="210"/>
      <c r="I100" s="147"/>
      <c r="J100" s="204">
        <f t="shared" si="20"/>
        <v>0</v>
      </c>
      <c r="K100" s="205" t="s">
        <v>48</v>
      </c>
      <c r="L100" s="69"/>
      <c r="M100" s="69"/>
      <c r="N100" s="69"/>
      <c r="O100" s="211"/>
      <c r="P100" s="211"/>
      <c r="Q100" s="211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71"/>
      <c r="AC100" s="53">
        <f t="shared" si="17"/>
        <v>0</v>
      </c>
    </row>
    <row r="101" spans="1:29" ht="14" x14ac:dyDescent="0.3">
      <c r="A101" s="81">
        <v>44473</v>
      </c>
      <c r="B101" s="72">
        <v>826</v>
      </c>
      <c r="C101" s="44" t="s">
        <v>43</v>
      </c>
      <c r="D101" s="89" t="s">
        <v>159</v>
      </c>
      <c r="E101" s="82" t="s">
        <v>168</v>
      </c>
      <c r="F101" s="82" t="s">
        <v>169</v>
      </c>
      <c r="G101" s="149" t="s">
        <v>135</v>
      </c>
      <c r="H101" s="212"/>
      <c r="I101" s="147">
        <v>189.58</v>
      </c>
      <c r="J101" s="204">
        <f t="shared" si="20"/>
        <v>189.58</v>
      </c>
      <c r="K101" s="205" t="s">
        <v>48</v>
      </c>
      <c r="L101" s="69"/>
      <c r="M101" s="69">
        <v>189.58</v>
      </c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71"/>
      <c r="AC101" s="53">
        <f t="shared" si="17"/>
        <v>189.58</v>
      </c>
    </row>
    <row r="102" spans="1:29" ht="14" x14ac:dyDescent="0.3">
      <c r="A102" s="81">
        <v>44477</v>
      </c>
      <c r="B102" s="65" t="s">
        <v>73</v>
      </c>
      <c r="C102" s="44" t="s">
        <v>43</v>
      </c>
      <c r="D102" s="44" t="s">
        <v>159</v>
      </c>
      <c r="E102" s="64" t="s">
        <v>74</v>
      </c>
      <c r="F102" s="64" t="s">
        <v>75</v>
      </c>
      <c r="G102" s="76" t="s">
        <v>76</v>
      </c>
      <c r="H102" s="77">
        <v>2.09</v>
      </c>
      <c r="I102" s="160">
        <v>12.56</v>
      </c>
      <c r="J102" s="213">
        <f t="shared" si="20"/>
        <v>12.56</v>
      </c>
      <c r="K102" s="79" t="s">
        <v>48</v>
      </c>
      <c r="L102" s="80"/>
      <c r="M102" s="80">
        <v>10.47</v>
      </c>
      <c r="N102" s="80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71"/>
      <c r="AC102" s="53">
        <f t="shared" si="17"/>
        <v>10.47</v>
      </c>
    </row>
    <row r="103" spans="1:29" ht="14" x14ac:dyDescent="0.3">
      <c r="A103" s="81">
        <v>44501</v>
      </c>
      <c r="B103" s="72">
        <v>827</v>
      </c>
      <c r="C103" s="88" t="s">
        <v>43</v>
      </c>
      <c r="D103" s="89" t="s">
        <v>159</v>
      </c>
      <c r="E103" s="82" t="s">
        <v>45</v>
      </c>
      <c r="F103" s="82" t="s">
        <v>170</v>
      </c>
      <c r="G103" s="43" t="s">
        <v>47</v>
      </c>
      <c r="H103" s="66"/>
      <c r="I103" s="198">
        <v>766.78</v>
      </c>
      <c r="J103" s="213">
        <f t="shared" si="20"/>
        <v>766.78</v>
      </c>
      <c r="K103" s="205" t="s">
        <v>48</v>
      </c>
      <c r="L103" s="69">
        <v>766.78</v>
      </c>
      <c r="M103" s="69"/>
      <c r="N103" s="69"/>
      <c r="O103" s="69"/>
      <c r="P103" s="69"/>
      <c r="Q103" s="146"/>
      <c r="R103" s="214"/>
      <c r="S103" s="69"/>
      <c r="T103" s="69"/>
      <c r="U103" s="69"/>
      <c r="V103" s="69"/>
      <c r="W103" s="69"/>
      <c r="X103" s="69"/>
      <c r="Y103" s="69"/>
      <c r="Z103" s="69"/>
      <c r="AA103" s="69"/>
      <c r="AB103" s="71"/>
      <c r="AC103" s="53">
        <f t="shared" si="17"/>
        <v>766.78</v>
      </c>
    </row>
    <row r="104" spans="1:29" ht="14" x14ac:dyDescent="0.3">
      <c r="A104" s="81">
        <v>44501</v>
      </c>
      <c r="B104" s="72">
        <v>827</v>
      </c>
      <c r="C104" s="88" t="s">
        <v>43</v>
      </c>
      <c r="D104" s="89" t="s">
        <v>159</v>
      </c>
      <c r="E104" s="82" t="s">
        <v>45</v>
      </c>
      <c r="F104" s="55" t="s">
        <v>171</v>
      </c>
      <c r="G104" s="43" t="s">
        <v>52</v>
      </c>
      <c r="H104" s="46">
        <v>1</v>
      </c>
      <c r="I104" s="198">
        <v>6</v>
      </c>
      <c r="J104" s="213">
        <f t="shared" si="20"/>
        <v>6</v>
      </c>
      <c r="K104" s="205" t="s">
        <v>48</v>
      </c>
      <c r="L104" s="59"/>
      <c r="M104" s="59">
        <v>5</v>
      </c>
      <c r="N104" s="59"/>
      <c r="O104" s="69"/>
      <c r="P104" s="215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7"/>
      <c r="AC104" s="53">
        <f t="shared" si="17"/>
        <v>5</v>
      </c>
    </row>
    <row r="105" spans="1:29" ht="14" x14ac:dyDescent="0.3">
      <c r="A105" s="81">
        <v>44501</v>
      </c>
      <c r="B105" s="72">
        <v>827</v>
      </c>
      <c r="C105" s="88" t="s">
        <v>43</v>
      </c>
      <c r="D105" s="89" t="s">
        <v>159</v>
      </c>
      <c r="E105" s="82" t="s">
        <v>45</v>
      </c>
      <c r="F105" s="62" t="s">
        <v>172</v>
      </c>
      <c r="G105" s="43" t="s">
        <v>54</v>
      </c>
      <c r="H105" s="66"/>
      <c r="I105" s="198">
        <v>25.6</v>
      </c>
      <c r="J105" s="213">
        <f t="shared" si="20"/>
        <v>25.6</v>
      </c>
      <c r="K105" s="205" t="s">
        <v>48</v>
      </c>
      <c r="L105" s="69"/>
      <c r="M105" s="69">
        <v>25.6</v>
      </c>
      <c r="N105" s="69"/>
      <c r="O105" s="69"/>
      <c r="P105" s="142"/>
      <c r="Q105" s="142"/>
      <c r="R105" s="142"/>
      <c r="S105" s="142"/>
      <c r="T105" s="69"/>
      <c r="U105" s="69"/>
      <c r="V105" s="69"/>
      <c r="W105" s="69"/>
      <c r="X105" s="69"/>
      <c r="Y105" s="69"/>
      <c r="Z105" s="69"/>
      <c r="AA105" s="69"/>
      <c r="AB105" s="71"/>
      <c r="AC105" s="53">
        <f t="shared" si="17"/>
        <v>25.6</v>
      </c>
    </row>
    <row r="106" spans="1:29" ht="14" x14ac:dyDescent="0.3">
      <c r="A106" s="81">
        <v>44501</v>
      </c>
      <c r="B106" s="72">
        <v>827</v>
      </c>
      <c r="C106" s="88" t="s">
        <v>43</v>
      </c>
      <c r="D106" s="89" t="s">
        <v>159</v>
      </c>
      <c r="E106" s="82" t="s">
        <v>45</v>
      </c>
      <c r="F106" s="55" t="s">
        <v>57</v>
      </c>
      <c r="G106" s="43" t="s">
        <v>58</v>
      </c>
      <c r="H106" s="46"/>
      <c r="I106" s="198">
        <v>2.99</v>
      </c>
      <c r="J106" s="213">
        <f t="shared" si="20"/>
        <v>2.99</v>
      </c>
      <c r="K106" s="205" t="s">
        <v>48</v>
      </c>
      <c r="L106" s="50"/>
      <c r="M106" s="50">
        <v>2.99</v>
      </c>
      <c r="N106" s="50"/>
      <c r="O106" s="142"/>
      <c r="P106" s="142"/>
      <c r="Q106" s="216"/>
      <c r="R106" s="216"/>
      <c r="S106" s="216"/>
      <c r="T106" s="142"/>
      <c r="U106" s="216"/>
      <c r="V106" s="216"/>
      <c r="W106" s="216"/>
      <c r="X106" s="216"/>
      <c r="Y106" s="216"/>
      <c r="Z106" s="216"/>
      <c r="AA106" s="216"/>
      <c r="AB106" s="217"/>
      <c r="AC106" s="53">
        <f t="shared" si="17"/>
        <v>2.99</v>
      </c>
    </row>
    <row r="107" spans="1:29" ht="14" x14ac:dyDescent="0.3">
      <c r="A107" s="81">
        <v>44501</v>
      </c>
      <c r="B107" s="72">
        <v>827</v>
      </c>
      <c r="C107" s="88" t="s">
        <v>43</v>
      </c>
      <c r="D107" s="89" t="s">
        <v>159</v>
      </c>
      <c r="E107" s="82" t="s">
        <v>45</v>
      </c>
      <c r="F107" s="64" t="s">
        <v>173</v>
      </c>
      <c r="G107" s="65" t="s">
        <v>89</v>
      </c>
      <c r="H107" s="66"/>
      <c r="I107" s="203">
        <v>15.99</v>
      </c>
      <c r="J107" s="213">
        <f t="shared" si="20"/>
        <v>15.99</v>
      </c>
      <c r="K107" s="205" t="s">
        <v>48</v>
      </c>
      <c r="L107" s="69"/>
      <c r="M107" s="69"/>
      <c r="N107" s="69"/>
      <c r="O107" s="216"/>
      <c r="P107" s="215"/>
      <c r="Q107" s="216"/>
      <c r="R107" s="216"/>
      <c r="S107" s="216"/>
      <c r="T107" s="216">
        <v>15.99</v>
      </c>
      <c r="U107" s="216"/>
      <c r="V107" s="216"/>
      <c r="W107" s="216"/>
      <c r="X107" s="216"/>
      <c r="Y107" s="216"/>
      <c r="Z107" s="216"/>
      <c r="AA107" s="216"/>
      <c r="AB107" s="217"/>
      <c r="AC107" s="53">
        <f t="shared" si="17"/>
        <v>15.99</v>
      </c>
    </row>
    <row r="108" spans="1:29" ht="14" x14ac:dyDescent="0.3">
      <c r="A108" s="81">
        <v>44501</v>
      </c>
      <c r="B108" s="72">
        <v>827</v>
      </c>
      <c r="C108" s="88" t="s">
        <v>43</v>
      </c>
      <c r="D108" s="89" t="s">
        <v>159</v>
      </c>
      <c r="E108" s="82" t="s">
        <v>45</v>
      </c>
      <c r="F108" s="64" t="s">
        <v>174</v>
      </c>
      <c r="G108" s="218" t="s">
        <v>175</v>
      </c>
      <c r="H108" s="77"/>
      <c r="I108" s="208">
        <v>24</v>
      </c>
      <c r="J108" s="213">
        <f t="shared" si="20"/>
        <v>24</v>
      </c>
      <c r="K108" s="205" t="s">
        <v>48</v>
      </c>
      <c r="L108" s="216"/>
      <c r="M108" s="216"/>
      <c r="N108" s="216">
        <v>24</v>
      </c>
      <c r="O108" s="219"/>
      <c r="P108" s="215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7"/>
      <c r="AC108" s="53">
        <f t="shared" si="17"/>
        <v>24</v>
      </c>
    </row>
    <row r="109" spans="1:29" ht="14" x14ac:dyDescent="0.3">
      <c r="A109" s="81">
        <v>44501</v>
      </c>
      <c r="B109" s="72">
        <v>827</v>
      </c>
      <c r="C109" s="88" t="s">
        <v>43</v>
      </c>
      <c r="D109" s="89" t="s">
        <v>159</v>
      </c>
      <c r="E109" s="82" t="s">
        <v>45</v>
      </c>
      <c r="F109" s="82" t="s">
        <v>79</v>
      </c>
      <c r="G109" s="65" t="s">
        <v>56</v>
      </c>
      <c r="H109" s="212">
        <v>0.88</v>
      </c>
      <c r="I109" s="220">
        <v>5.16</v>
      </c>
      <c r="J109" s="213">
        <f t="shared" si="20"/>
        <v>5.16</v>
      </c>
      <c r="K109" s="205" t="s">
        <v>48</v>
      </c>
      <c r="L109" s="69"/>
      <c r="M109" s="69">
        <v>4.28</v>
      </c>
      <c r="N109" s="69"/>
      <c r="O109" s="216"/>
      <c r="P109" s="215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7"/>
      <c r="AC109" s="53">
        <f t="shared" si="17"/>
        <v>4.28</v>
      </c>
    </row>
    <row r="110" spans="1:29" ht="14" x14ac:dyDescent="0.3">
      <c r="A110" s="81">
        <v>44501</v>
      </c>
      <c r="B110" s="72">
        <v>828</v>
      </c>
      <c r="C110" s="44" t="s">
        <v>86</v>
      </c>
      <c r="D110" s="89" t="s">
        <v>159</v>
      </c>
      <c r="E110" s="82" t="s">
        <v>176</v>
      </c>
      <c r="F110" s="82" t="s">
        <v>177</v>
      </c>
      <c r="G110" s="149" t="s">
        <v>63</v>
      </c>
      <c r="H110" s="212">
        <v>29.2</v>
      </c>
      <c r="I110" s="155">
        <v>175.2</v>
      </c>
      <c r="J110" s="213">
        <f t="shared" si="20"/>
        <v>175.2</v>
      </c>
      <c r="K110" s="205" t="s">
        <v>48</v>
      </c>
      <c r="L110" s="69"/>
      <c r="M110" s="69"/>
      <c r="N110" s="69"/>
      <c r="O110" s="216"/>
      <c r="P110" s="215"/>
      <c r="Q110" s="216"/>
      <c r="R110" s="216"/>
      <c r="S110" s="216">
        <v>146</v>
      </c>
      <c r="T110" s="216"/>
      <c r="U110" s="216"/>
      <c r="V110" s="216"/>
      <c r="W110" s="216"/>
      <c r="X110" s="216"/>
      <c r="Y110" s="216"/>
      <c r="Z110" s="216"/>
      <c r="AA110" s="216"/>
      <c r="AB110" s="217"/>
      <c r="AC110" s="53">
        <f t="shared" si="17"/>
        <v>146</v>
      </c>
    </row>
    <row r="111" spans="1:29" ht="12" customHeight="1" x14ac:dyDescent="0.3">
      <c r="A111" s="81">
        <v>44501</v>
      </c>
      <c r="B111" s="72">
        <v>829</v>
      </c>
      <c r="C111" s="44" t="s">
        <v>86</v>
      </c>
      <c r="D111" s="89" t="s">
        <v>159</v>
      </c>
      <c r="E111" s="82" t="s">
        <v>178</v>
      </c>
      <c r="F111" s="82" t="s">
        <v>179</v>
      </c>
      <c r="G111" s="75" t="s">
        <v>89</v>
      </c>
      <c r="H111" s="212">
        <v>442</v>
      </c>
      <c r="I111" s="155">
        <v>2652</v>
      </c>
      <c r="J111" s="213">
        <f t="shared" si="20"/>
        <v>2652</v>
      </c>
      <c r="K111" s="205" t="s">
        <v>48</v>
      </c>
      <c r="L111" s="69"/>
      <c r="M111" s="69"/>
      <c r="N111" s="69"/>
      <c r="O111" s="216"/>
      <c r="P111" s="215"/>
      <c r="Q111" s="216"/>
      <c r="R111" s="216"/>
      <c r="S111" s="216"/>
      <c r="T111" s="216">
        <v>2210</v>
      </c>
      <c r="U111" s="216"/>
      <c r="V111" s="216"/>
      <c r="W111" s="216"/>
      <c r="X111" s="216"/>
      <c r="Y111" s="216"/>
      <c r="Z111" s="216"/>
      <c r="AA111" s="216"/>
      <c r="AB111" s="217"/>
      <c r="AC111" s="53">
        <f t="shared" si="17"/>
        <v>2210</v>
      </c>
    </row>
    <row r="112" spans="1:29" ht="14" x14ac:dyDescent="0.3">
      <c r="A112" s="81">
        <v>44501</v>
      </c>
      <c r="B112" s="72">
        <v>830</v>
      </c>
      <c r="C112" s="44" t="s">
        <v>86</v>
      </c>
      <c r="D112" s="89" t="s">
        <v>159</v>
      </c>
      <c r="E112" s="82" t="s">
        <v>146</v>
      </c>
      <c r="F112" s="82" t="s">
        <v>180</v>
      </c>
      <c r="G112" s="65" t="s">
        <v>89</v>
      </c>
      <c r="H112" s="66">
        <v>16.52</v>
      </c>
      <c r="I112" s="220">
        <v>99.09</v>
      </c>
      <c r="J112" s="213">
        <f t="shared" si="20"/>
        <v>99.089999999999989</v>
      </c>
      <c r="K112" s="205" t="s">
        <v>48</v>
      </c>
      <c r="L112" s="69"/>
      <c r="M112" s="69"/>
      <c r="N112" s="69"/>
      <c r="O112" s="216"/>
      <c r="P112" s="215"/>
      <c r="Q112" s="216"/>
      <c r="R112" s="216"/>
      <c r="S112" s="216"/>
      <c r="T112" s="216">
        <v>82.57</v>
      </c>
      <c r="U112" s="216"/>
      <c r="V112" s="216"/>
      <c r="W112" s="216"/>
      <c r="X112" s="216"/>
      <c r="Y112" s="216"/>
      <c r="Z112" s="216"/>
      <c r="AA112" s="216"/>
      <c r="AB112" s="217"/>
      <c r="AC112" s="53">
        <f t="shared" si="17"/>
        <v>82.57</v>
      </c>
    </row>
    <row r="113" spans="1:29" ht="14" x14ac:dyDescent="0.3">
      <c r="A113" s="81">
        <v>44501</v>
      </c>
      <c r="B113" s="72">
        <v>830</v>
      </c>
      <c r="C113" s="44" t="s">
        <v>86</v>
      </c>
      <c r="D113" s="89" t="s">
        <v>159</v>
      </c>
      <c r="E113" s="141" t="s">
        <v>146</v>
      </c>
      <c r="F113" s="141" t="s">
        <v>181</v>
      </c>
      <c r="G113" s="221" t="s">
        <v>97</v>
      </c>
      <c r="H113" s="212">
        <v>2.57</v>
      </c>
      <c r="I113" s="155">
        <v>15.45</v>
      </c>
      <c r="J113" s="213">
        <f t="shared" si="20"/>
        <v>15.450000000000001</v>
      </c>
      <c r="K113" s="205" t="s">
        <v>48</v>
      </c>
      <c r="L113" s="216"/>
      <c r="M113" s="216"/>
      <c r="N113" s="216">
        <v>12.88</v>
      </c>
      <c r="O113" s="216"/>
      <c r="P113" s="215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7"/>
      <c r="AC113" s="53">
        <f t="shared" si="17"/>
        <v>12.88</v>
      </c>
    </row>
    <row r="114" spans="1:29" ht="14" x14ac:dyDescent="0.3">
      <c r="A114" s="81">
        <v>44501</v>
      </c>
      <c r="B114" s="72">
        <v>831</v>
      </c>
      <c r="C114" s="44" t="s">
        <v>43</v>
      </c>
      <c r="D114" s="89" t="s">
        <v>159</v>
      </c>
      <c r="E114" s="141" t="s">
        <v>182</v>
      </c>
      <c r="F114" s="141" t="s">
        <v>183</v>
      </c>
      <c r="G114" s="218" t="s">
        <v>69</v>
      </c>
      <c r="H114" s="222">
        <v>0</v>
      </c>
      <c r="I114" s="220">
        <v>0</v>
      </c>
      <c r="J114" s="213">
        <v>0</v>
      </c>
      <c r="K114" s="205" t="s">
        <v>48</v>
      </c>
      <c r="L114" s="142"/>
      <c r="M114" s="142"/>
      <c r="N114" s="142"/>
      <c r="O114" s="146">
        <v>0</v>
      </c>
      <c r="P114" s="146"/>
      <c r="Q114" s="146"/>
      <c r="R114" s="146"/>
      <c r="S114" s="146"/>
      <c r="T114" s="146"/>
      <c r="U114" s="146"/>
      <c r="V114" s="216"/>
      <c r="W114" s="216"/>
      <c r="X114" s="216"/>
      <c r="Y114" s="216"/>
      <c r="Z114" s="216"/>
      <c r="AA114" s="216"/>
      <c r="AB114" s="217"/>
      <c r="AC114" s="53">
        <f t="shared" si="17"/>
        <v>0</v>
      </c>
    </row>
    <row r="115" spans="1:29" ht="14" x14ac:dyDescent="0.3">
      <c r="A115" s="81">
        <v>44501</v>
      </c>
      <c r="B115" s="72">
        <v>832</v>
      </c>
      <c r="C115" s="44" t="s">
        <v>184</v>
      </c>
      <c r="D115" s="89" t="s">
        <v>159</v>
      </c>
      <c r="E115" s="141" t="s">
        <v>185</v>
      </c>
      <c r="F115" s="82" t="s">
        <v>186</v>
      </c>
      <c r="G115" s="149" t="s">
        <v>63</v>
      </c>
      <c r="H115" s="212">
        <f>0.71+1.32+2.94</f>
        <v>4.9700000000000006</v>
      </c>
      <c r="I115" s="155">
        <f>4.26+7.98+17.77</f>
        <v>30.009999999999998</v>
      </c>
      <c r="J115" s="213">
        <f t="shared" si="20"/>
        <v>30.009999999999998</v>
      </c>
      <c r="K115" s="205" t="s">
        <v>48</v>
      </c>
      <c r="L115" s="142"/>
      <c r="M115" s="142"/>
      <c r="N115" s="142"/>
      <c r="O115" s="146"/>
      <c r="P115" s="146"/>
      <c r="Q115" s="146"/>
      <c r="R115" s="146"/>
      <c r="S115" s="146">
        <f>3.55+6.66+14.83</f>
        <v>25.04</v>
      </c>
      <c r="T115" s="146"/>
      <c r="U115" s="146"/>
      <c r="V115" s="216"/>
      <c r="W115" s="216"/>
      <c r="X115" s="216"/>
      <c r="Y115" s="216"/>
      <c r="Z115" s="216"/>
      <c r="AA115" s="216"/>
      <c r="AB115" s="217"/>
      <c r="AC115" s="53">
        <f t="shared" si="17"/>
        <v>25.04</v>
      </c>
    </row>
    <row r="116" spans="1:29" ht="14" x14ac:dyDescent="0.3">
      <c r="A116" s="81">
        <v>44501</v>
      </c>
      <c r="B116" s="72">
        <v>834</v>
      </c>
      <c r="C116" s="44" t="s">
        <v>43</v>
      </c>
      <c r="D116" s="89" t="s">
        <v>159</v>
      </c>
      <c r="E116" s="141" t="s">
        <v>187</v>
      </c>
      <c r="F116" s="82" t="s">
        <v>188</v>
      </c>
      <c r="G116" s="49" t="s">
        <v>189</v>
      </c>
      <c r="H116" s="46"/>
      <c r="I116" s="223">
        <v>100</v>
      </c>
      <c r="J116" s="213">
        <f t="shared" si="20"/>
        <v>100</v>
      </c>
      <c r="K116" s="205" t="s">
        <v>48</v>
      </c>
      <c r="L116" s="59"/>
      <c r="M116" s="59">
        <v>100</v>
      </c>
      <c r="N116" s="59"/>
      <c r="O116" s="69"/>
      <c r="P116" s="215"/>
      <c r="Q116" s="146"/>
      <c r="R116" s="146"/>
      <c r="S116" s="146"/>
      <c r="T116" s="146"/>
      <c r="U116" s="146"/>
      <c r="V116" s="216"/>
      <c r="W116" s="216"/>
      <c r="X116" s="216"/>
      <c r="Y116" s="216"/>
      <c r="Z116" s="216"/>
      <c r="AA116" s="216"/>
      <c r="AB116" s="217"/>
      <c r="AC116" s="53">
        <f t="shared" si="17"/>
        <v>100</v>
      </c>
    </row>
    <row r="117" spans="1:29" ht="14" x14ac:dyDescent="0.3">
      <c r="A117" s="81">
        <v>44501</v>
      </c>
      <c r="B117" s="72">
        <v>835</v>
      </c>
      <c r="C117" s="44" t="s">
        <v>43</v>
      </c>
      <c r="D117" s="89" t="s">
        <v>159</v>
      </c>
      <c r="E117" s="82" t="s">
        <v>93</v>
      </c>
      <c r="F117" s="45" t="s">
        <v>150</v>
      </c>
      <c r="G117" s="72" t="s">
        <v>95</v>
      </c>
      <c r="H117" s="66">
        <v>35.33</v>
      </c>
      <c r="I117" s="153">
        <v>212</v>
      </c>
      <c r="J117" s="204">
        <f t="shared" ref="J117" si="21">+SUM(L117:AB117)+H117</f>
        <v>212</v>
      </c>
      <c r="K117" s="224" t="s">
        <v>48</v>
      </c>
      <c r="L117" s="69"/>
      <c r="M117" s="69"/>
      <c r="N117" s="69">
        <v>176.67</v>
      </c>
      <c r="O117" s="69"/>
      <c r="P117" s="146"/>
      <c r="Q117" s="146"/>
      <c r="R117" s="146"/>
      <c r="S117" s="146"/>
      <c r="T117" s="146"/>
      <c r="U117" s="146"/>
      <c r="V117" s="216"/>
      <c r="W117" s="216"/>
      <c r="X117" s="216"/>
      <c r="Y117" s="216"/>
      <c r="Z117" s="216"/>
      <c r="AA117" s="216"/>
      <c r="AB117" s="217"/>
      <c r="AC117" s="53">
        <f t="shared" si="17"/>
        <v>176.67</v>
      </c>
    </row>
    <row r="118" spans="1:29" ht="14" x14ac:dyDescent="0.3">
      <c r="A118" s="81">
        <v>44501</v>
      </c>
      <c r="B118" s="72">
        <v>836</v>
      </c>
      <c r="C118" s="44" t="s">
        <v>190</v>
      </c>
      <c r="D118" s="89" t="s">
        <v>159</v>
      </c>
      <c r="E118" s="141" t="s">
        <v>191</v>
      </c>
      <c r="F118" s="82" t="s">
        <v>192</v>
      </c>
      <c r="G118" s="225" t="s">
        <v>193</v>
      </c>
      <c r="H118" s="210"/>
      <c r="I118" s="155">
        <v>250</v>
      </c>
      <c r="J118" s="213">
        <f t="shared" si="20"/>
        <v>250</v>
      </c>
      <c r="K118" s="205" t="s">
        <v>48</v>
      </c>
      <c r="L118" s="69"/>
      <c r="M118" s="69"/>
      <c r="N118" s="69"/>
      <c r="O118" s="69"/>
      <c r="P118" s="69"/>
      <c r="Q118" s="70">
        <v>250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71"/>
      <c r="AC118" s="53">
        <f t="shared" si="17"/>
        <v>250</v>
      </c>
    </row>
    <row r="119" spans="1:29" ht="14" x14ac:dyDescent="0.3">
      <c r="A119" s="81">
        <v>44501</v>
      </c>
      <c r="B119" s="72">
        <v>837</v>
      </c>
      <c r="C119" s="44" t="s">
        <v>190</v>
      </c>
      <c r="D119" s="89" t="s">
        <v>159</v>
      </c>
      <c r="E119" s="141" t="s">
        <v>194</v>
      </c>
      <c r="F119" s="141" t="s">
        <v>192</v>
      </c>
      <c r="G119" s="226" t="s">
        <v>193</v>
      </c>
      <c r="H119" s="210"/>
      <c r="I119" s="155">
        <v>200</v>
      </c>
      <c r="J119" s="213">
        <f t="shared" si="20"/>
        <v>200</v>
      </c>
      <c r="K119" s="205" t="s">
        <v>48</v>
      </c>
      <c r="L119" s="69"/>
      <c r="M119" s="69"/>
      <c r="N119" s="69"/>
      <c r="O119" s="69"/>
      <c r="P119" s="69"/>
      <c r="Q119" s="70">
        <v>200</v>
      </c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71"/>
      <c r="AC119" s="53">
        <f t="shared" si="17"/>
        <v>200</v>
      </c>
    </row>
    <row r="120" spans="1:29" ht="14" x14ac:dyDescent="0.3">
      <c r="A120" s="81">
        <v>44501</v>
      </c>
      <c r="B120" s="72">
        <v>838</v>
      </c>
      <c r="C120" s="44" t="s">
        <v>190</v>
      </c>
      <c r="D120" s="89" t="s">
        <v>159</v>
      </c>
      <c r="E120" s="82" t="s">
        <v>195</v>
      </c>
      <c r="F120" s="82" t="s">
        <v>192</v>
      </c>
      <c r="G120" s="149" t="s">
        <v>193</v>
      </c>
      <c r="H120" s="66"/>
      <c r="I120" s="155">
        <v>100</v>
      </c>
      <c r="J120" s="213">
        <f t="shared" si="20"/>
        <v>100</v>
      </c>
      <c r="K120" s="205" t="s">
        <v>48</v>
      </c>
      <c r="L120" s="69"/>
      <c r="M120" s="69"/>
      <c r="N120" s="69"/>
      <c r="O120" s="69"/>
      <c r="P120" s="69"/>
      <c r="Q120" s="70">
        <v>100</v>
      </c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71"/>
      <c r="AC120" s="53">
        <f t="shared" si="17"/>
        <v>100</v>
      </c>
    </row>
    <row r="121" spans="1:29" ht="14" x14ac:dyDescent="0.3">
      <c r="A121" s="81">
        <v>44501</v>
      </c>
      <c r="B121" s="72">
        <v>839</v>
      </c>
      <c r="C121" s="44" t="s">
        <v>43</v>
      </c>
      <c r="D121" s="89" t="s">
        <v>159</v>
      </c>
      <c r="E121" s="82" t="s">
        <v>196</v>
      </c>
      <c r="F121" s="82" t="s">
        <v>197</v>
      </c>
      <c r="G121" s="227" t="s">
        <v>198</v>
      </c>
      <c r="H121" s="66"/>
      <c r="I121" s="155">
        <v>400</v>
      </c>
      <c r="J121" s="213">
        <f t="shared" si="20"/>
        <v>400</v>
      </c>
      <c r="K121" s="205" t="s">
        <v>48</v>
      </c>
      <c r="L121" s="69"/>
      <c r="M121" s="69"/>
      <c r="N121" s="69">
        <v>400</v>
      </c>
      <c r="O121" s="69"/>
      <c r="P121" s="69"/>
      <c r="Q121" s="70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71"/>
      <c r="AC121" s="53">
        <f t="shared" si="17"/>
        <v>400</v>
      </c>
    </row>
    <row r="122" spans="1:29" ht="14" x14ac:dyDescent="0.3">
      <c r="A122" s="81">
        <v>44508</v>
      </c>
      <c r="B122" s="65" t="s">
        <v>73</v>
      </c>
      <c r="C122" s="44" t="s">
        <v>43</v>
      </c>
      <c r="D122" s="44" t="s">
        <v>159</v>
      </c>
      <c r="E122" s="64" t="s">
        <v>74</v>
      </c>
      <c r="F122" s="64" t="s">
        <v>75</v>
      </c>
      <c r="G122" s="76" t="s">
        <v>76</v>
      </c>
      <c r="H122" s="77">
        <v>1.2</v>
      </c>
      <c r="I122" s="160">
        <v>7.2</v>
      </c>
      <c r="J122" s="213">
        <f t="shared" ref="J122:J145" si="22">+SUM(L122:AB122)+H122</f>
        <v>7.2</v>
      </c>
      <c r="K122" s="79" t="s">
        <v>48</v>
      </c>
      <c r="L122" s="80"/>
      <c r="M122" s="80">
        <v>6</v>
      </c>
      <c r="N122" s="80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71"/>
      <c r="AC122" s="53">
        <f t="shared" si="17"/>
        <v>6</v>
      </c>
    </row>
    <row r="123" spans="1:29" ht="14" x14ac:dyDescent="0.3">
      <c r="A123" s="81">
        <v>44509</v>
      </c>
      <c r="B123" s="65">
        <v>840</v>
      </c>
      <c r="C123" s="44" t="s">
        <v>86</v>
      </c>
      <c r="D123" s="44" t="s">
        <v>159</v>
      </c>
      <c r="E123" s="64" t="s">
        <v>199</v>
      </c>
      <c r="F123" s="64" t="s">
        <v>200</v>
      </c>
      <c r="G123" s="76" t="s">
        <v>201</v>
      </c>
      <c r="H123" s="77"/>
      <c r="I123" s="160">
        <v>124</v>
      </c>
      <c r="J123" s="213">
        <f t="shared" si="22"/>
        <v>124</v>
      </c>
      <c r="K123" s="79" t="s">
        <v>48</v>
      </c>
      <c r="L123" s="80"/>
      <c r="M123" s="80">
        <v>124</v>
      </c>
      <c r="N123" s="80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71"/>
      <c r="AC123" s="53">
        <f t="shared" si="17"/>
        <v>124</v>
      </c>
    </row>
    <row r="124" spans="1:29" ht="28" x14ac:dyDescent="0.3">
      <c r="A124" s="81">
        <v>44509</v>
      </c>
      <c r="B124" s="65">
        <v>841</v>
      </c>
      <c r="C124" s="44" t="s">
        <v>86</v>
      </c>
      <c r="D124" s="44" t="s">
        <v>159</v>
      </c>
      <c r="E124" s="64" t="s">
        <v>202</v>
      </c>
      <c r="F124" s="64" t="s">
        <v>203</v>
      </c>
      <c r="G124" s="76" t="s">
        <v>204</v>
      </c>
      <c r="H124" s="77"/>
      <c r="I124" s="160">
        <v>200</v>
      </c>
      <c r="J124" s="213">
        <f t="shared" si="22"/>
        <v>200</v>
      </c>
      <c r="K124" s="79" t="s">
        <v>48</v>
      </c>
      <c r="L124" s="80"/>
      <c r="M124" s="80"/>
      <c r="N124" s="80"/>
      <c r="O124" s="69"/>
      <c r="P124" s="69"/>
      <c r="Q124" s="69"/>
      <c r="R124" s="69">
        <v>200</v>
      </c>
      <c r="S124" s="69"/>
      <c r="T124" s="69"/>
      <c r="U124" s="69"/>
      <c r="V124" s="69"/>
      <c r="W124" s="69"/>
      <c r="X124" s="69"/>
      <c r="Y124" s="69"/>
      <c r="Z124" s="69"/>
      <c r="AA124" s="69"/>
      <c r="AB124" s="71"/>
      <c r="AC124" s="53">
        <f t="shared" si="17"/>
        <v>200</v>
      </c>
    </row>
    <row r="125" spans="1:29" ht="14" x14ac:dyDescent="0.3">
      <c r="A125" s="81">
        <v>44522</v>
      </c>
      <c r="B125" s="65">
        <v>842</v>
      </c>
      <c r="C125" s="44" t="s">
        <v>43</v>
      </c>
      <c r="D125" s="44" t="s">
        <v>159</v>
      </c>
      <c r="E125" s="141" t="s">
        <v>182</v>
      </c>
      <c r="F125" s="141" t="s">
        <v>105</v>
      </c>
      <c r="G125" s="218" t="s">
        <v>69</v>
      </c>
      <c r="H125" s="222">
        <v>21.62</v>
      </c>
      <c r="I125" s="220">
        <v>129.72</v>
      </c>
      <c r="J125" s="213">
        <f t="shared" ref="J125" si="23">+SUM(L125:AB125)+H125</f>
        <v>129.72</v>
      </c>
      <c r="K125" s="228" t="s">
        <v>48</v>
      </c>
      <c r="L125" s="142"/>
      <c r="M125" s="142"/>
      <c r="N125" s="142"/>
      <c r="O125" s="146">
        <v>108.1</v>
      </c>
      <c r="P125" s="146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71"/>
      <c r="AC125" s="53">
        <f t="shared" si="17"/>
        <v>108.1</v>
      </c>
    </row>
    <row r="126" spans="1:29" ht="14" x14ac:dyDescent="0.3">
      <c r="A126" s="81">
        <v>44526</v>
      </c>
      <c r="B126" s="65">
        <v>843</v>
      </c>
      <c r="C126" s="44" t="s">
        <v>86</v>
      </c>
      <c r="D126" s="44" t="s">
        <v>159</v>
      </c>
      <c r="E126" s="64" t="s">
        <v>205</v>
      </c>
      <c r="F126" s="64" t="s">
        <v>206</v>
      </c>
      <c r="G126" s="76" t="s">
        <v>204</v>
      </c>
      <c r="H126" s="77"/>
      <c r="I126" s="160">
        <v>300</v>
      </c>
      <c r="J126" s="213">
        <f t="shared" si="22"/>
        <v>300</v>
      </c>
      <c r="K126" s="79" t="s">
        <v>48</v>
      </c>
      <c r="L126" s="80"/>
      <c r="M126" s="80"/>
      <c r="N126" s="80"/>
      <c r="O126" s="69"/>
      <c r="P126" s="69"/>
      <c r="Q126" s="69"/>
      <c r="R126" s="69">
        <v>300</v>
      </c>
      <c r="S126" s="69"/>
      <c r="T126" s="69"/>
      <c r="U126" s="69"/>
      <c r="V126" s="69"/>
      <c r="W126" s="69"/>
      <c r="X126" s="69"/>
      <c r="Y126" s="69"/>
      <c r="Z126" s="69"/>
      <c r="AA126" s="69"/>
      <c r="AB126" s="71"/>
      <c r="AC126" s="53">
        <f t="shared" si="17"/>
        <v>300</v>
      </c>
    </row>
    <row r="127" spans="1:29" ht="14" x14ac:dyDescent="0.3">
      <c r="A127" s="81">
        <v>44536</v>
      </c>
      <c r="B127" s="65">
        <v>844</v>
      </c>
      <c r="C127" s="44" t="s">
        <v>43</v>
      </c>
      <c r="D127" s="44" t="s">
        <v>159</v>
      </c>
      <c r="E127" s="82" t="s">
        <v>45</v>
      </c>
      <c r="F127" s="82" t="s">
        <v>207</v>
      </c>
      <c r="G127" s="43" t="s">
        <v>47</v>
      </c>
      <c r="H127" s="66"/>
      <c r="I127" s="198">
        <v>766.78</v>
      </c>
      <c r="J127" s="213">
        <f t="shared" ref="J127:J133" si="24">+SUM(L127:AB127)+H127</f>
        <v>766.78</v>
      </c>
      <c r="K127" s="205" t="s">
        <v>48</v>
      </c>
      <c r="L127" s="69">
        <v>766.78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71"/>
      <c r="AC127" s="53">
        <f t="shared" si="17"/>
        <v>766.78</v>
      </c>
    </row>
    <row r="128" spans="1:29" ht="14" x14ac:dyDescent="0.3">
      <c r="A128" s="81">
        <v>44536</v>
      </c>
      <c r="B128" s="65">
        <v>844</v>
      </c>
      <c r="C128" s="44" t="s">
        <v>43</v>
      </c>
      <c r="D128" s="44" t="s">
        <v>159</v>
      </c>
      <c r="E128" s="82" t="s">
        <v>45</v>
      </c>
      <c r="F128" s="55" t="s">
        <v>208</v>
      </c>
      <c r="G128" s="43" t="s">
        <v>52</v>
      </c>
      <c r="H128" s="46">
        <v>1</v>
      </c>
      <c r="I128" s="198">
        <v>6</v>
      </c>
      <c r="J128" s="213">
        <f t="shared" si="24"/>
        <v>6</v>
      </c>
      <c r="K128" s="205" t="s">
        <v>48</v>
      </c>
      <c r="L128" s="59"/>
      <c r="M128" s="59">
        <v>5</v>
      </c>
      <c r="N128" s="5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71"/>
      <c r="AC128" s="53">
        <f t="shared" si="17"/>
        <v>5</v>
      </c>
    </row>
    <row r="129" spans="1:29" ht="14" x14ac:dyDescent="0.3">
      <c r="A129" s="81">
        <v>44536</v>
      </c>
      <c r="B129" s="65">
        <v>844</v>
      </c>
      <c r="C129" s="44" t="s">
        <v>43</v>
      </c>
      <c r="D129" s="44" t="s">
        <v>159</v>
      </c>
      <c r="E129" s="82" t="s">
        <v>45</v>
      </c>
      <c r="F129" s="62" t="s">
        <v>209</v>
      </c>
      <c r="G129" s="43" t="s">
        <v>54</v>
      </c>
      <c r="H129" s="66"/>
      <c r="I129" s="198">
        <v>26.4</v>
      </c>
      <c r="J129" s="213">
        <v>26.4</v>
      </c>
      <c r="K129" s="205" t="s">
        <v>48</v>
      </c>
      <c r="L129" s="69"/>
      <c r="M129" s="69">
        <v>26.4</v>
      </c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71"/>
      <c r="AC129" s="53">
        <f t="shared" si="17"/>
        <v>26.4</v>
      </c>
    </row>
    <row r="130" spans="1:29" ht="14" x14ac:dyDescent="0.3">
      <c r="A130" s="81">
        <v>44536</v>
      </c>
      <c r="B130" s="65">
        <v>844</v>
      </c>
      <c r="C130" s="44" t="s">
        <v>43</v>
      </c>
      <c r="D130" s="44" t="s">
        <v>159</v>
      </c>
      <c r="E130" s="82" t="s">
        <v>45</v>
      </c>
      <c r="F130" s="55" t="s">
        <v>57</v>
      </c>
      <c r="G130" s="43" t="s">
        <v>58</v>
      </c>
      <c r="H130" s="46"/>
      <c r="I130" s="198">
        <v>7.92</v>
      </c>
      <c r="J130" s="213">
        <f>+SUM(L130:AB130)+H130</f>
        <v>7.92</v>
      </c>
      <c r="K130" s="229" t="s">
        <v>48</v>
      </c>
      <c r="L130" s="50"/>
      <c r="M130" s="50">
        <v>7.92</v>
      </c>
      <c r="N130" s="50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71"/>
      <c r="AC130" s="53">
        <f t="shared" si="17"/>
        <v>7.92</v>
      </c>
    </row>
    <row r="131" spans="1:29" ht="14" x14ac:dyDescent="0.3">
      <c r="A131" s="81">
        <v>44536</v>
      </c>
      <c r="B131" s="65">
        <v>844</v>
      </c>
      <c r="C131" s="44" t="s">
        <v>43</v>
      </c>
      <c r="D131" s="44" t="s">
        <v>159</v>
      </c>
      <c r="E131" s="82" t="s">
        <v>45</v>
      </c>
      <c r="F131" s="64" t="s">
        <v>210</v>
      </c>
      <c r="G131" s="65" t="s">
        <v>56</v>
      </c>
      <c r="H131" s="66"/>
      <c r="I131" s="203">
        <v>4.7300000000000004</v>
      </c>
      <c r="J131" s="213">
        <f t="shared" si="24"/>
        <v>4.7300000000000004</v>
      </c>
      <c r="K131" s="205" t="s">
        <v>48</v>
      </c>
      <c r="L131" s="69"/>
      <c r="M131" s="69">
        <v>4.7300000000000004</v>
      </c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71"/>
      <c r="AC131" s="53">
        <f t="shared" si="17"/>
        <v>4.7300000000000004</v>
      </c>
    </row>
    <row r="132" spans="1:29" ht="14" x14ac:dyDescent="0.3">
      <c r="A132" s="81">
        <v>44536</v>
      </c>
      <c r="B132" s="65">
        <v>844</v>
      </c>
      <c r="C132" s="44" t="s">
        <v>43</v>
      </c>
      <c r="D132" s="44" t="s">
        <v>159</v>
      </c>
      <c r="E132" s="82" t="s">
        <v>45</v>
      </c>
      <c r="F132" s="64" t="s">
        <v>211</v>
      </c>
      <c r="G132" s="218" t="s">
        <v>204</v>
      </c>
      <c r="H132" s="77"/>
      <c r="I132" s="208">
        <v>87.7</v>
      </c>
      <c r="J132" s="213">
        <f t="shared" si="24"/>
        <v>87.7</v>
      </c>
      <c r="K132" s="209" t="s">
        <v>48</v>
      </c>
      <c r="L132" s="216"/>
      <c r="M132" s="216"/>
      <c r="N132" s="216"/>
      <c r="O132" s="69"/>
      <c r="P132" s="69"/>
      <c r="Q132" s="69"/>
      <c r="R132" s="69">
        <v>87.7</v>
      </c>
      <c r="S132" s="69"/>
      <c r="T132" s="69"/>
      <c r="U132" s="69"/>
      <c r="V132" s="69"/>
      <c r="W132" s="69"/>
      <c r="X132" s="69"/>
      <c r="Y132" s="69"/>
      <c r="Z132" s="69"/>
      <c r="AA132" s="69"/>
      <c r="AB132" s="71"/>
      <c r="AC132" s="53">
        <f t="shared" si="17"/>
        <v>87.7</v>
      </c>
    </row>
    <row r="133" spans="1:29" ht="14" x14ac:dyDescent="0.3">
      <c r="A133" s="81">
        <v>44536</v>
      </c>
      <c r="B133" s="65">
        <v>844</v>
      </c>
      <c r="C133" s="44" t="s">
        <v>43</v>
      </c>
      <c r="D133" s="44" t="s">
        <v>159</v>
      </c>
      <c r="E133" s="82" t="s">
        <v>45</v>
      </c>
      <c r="F133" s="82" t="s">
        <v>79</v>
      </c>
      <c r="G133" s="65" t="s">
        <v>56</v>
      </c>
      <c r="H133" s="212">
        <v>1.89</v>
      </c>
      <c r="I133" s="220">
        <v>11.31</v>
      </c>
      <c r="J133" s="213">
        <f t="shared" si="24"/>
        <v>11.31</v>
      </c>
      <c r="K133" s="209" t="s">
        <v>48</v>
      </c>
      <c r="L133" s="69"/>
      <c r="M133" s="69">
        <v>9.42</v>
      </c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71"/>
      <c r="AC133" s="53">
        <f t="shared" si="17"/>
        <v>9.42</v>
      </c>
    </row>
    <row r="134" spans="1:29" ht="14" x14ac:dyDescent="0.3">
      <c r="A134" s="81">
        <v>44536</v>
      </c>
      <c r="B134" s="65">
        <v>844</v>
      </c>
      <c r="C134" s="44" t="s">
        <v>43</v>
      </c>
      <c r="D134" s="44" t="s">
        <v>159</v>
      </c>
      <c r="E134" s="82" t="s">
        <v>45</v>
      </c>
      <c r="F134" s="82" t="s">
        <v>212</v>
      </c>
      <c r="G134" s="65" t="s">
        <v>63</v>
      </c>
      <c r="H134" s="210"/>
      <c r="I134" s="220">
        <v>21.98</v>
      </c>
      <c r="J134" s="213">
        <f t="shared" si="22"/>
        <v>21.98</v>
      </c>
      <c r="K134" s="209" t="s">
        <v>48</v>
      </c>
      <c r="L134" s="69"/>
      <c r="M134" s="69"/>
      <c r="N134" s="69"/>
      <c r="O134" s="69"/>
      <c r="P134" s="69"/>
      <c r="Q134" s="69"/>
      <c r="R134" s="69"/>
      <c r="S134" s="69">
        <v>21.98</v>
      </c>
      <c r="T134" s="69"/>
      <c r="U134" s="69"/>
      <c r="V134" s="69"/>
      <c r="W134" s="69"/>
      <c r="X134" s="69"/>
      <c r="Y134" s="69"/>
      <c r="Z134" s="69"/>
      <c r="AA134" s="69"/>
      <c r="AB134" s="71"/>
      <c r="AC134" s="53">
        <f t="shared" si="17"/>
        <v>21.98</v>
      </c>
    </row>
    <row r="135" spans="1:29" ht="14" x14ac:dyDescent="0.3">
      <c r="A135" s="81">
        <v>44536</v>
      </c>
      <c r="B135" s="65">
        <v>845</v>
      </c>
      <c r="C135" s="44" t="s">
        <v>43</v>
      </c>
      <c r="D135" s="44" t="s">
        <v>159</v>
      </c>
      <c r="E135" s="82" t="s">
        <v>144</v>
      </c>
      <c r="F135" s="82" t="s">
        <v>213</v>
      </c>
      <c r="G135" s="65" t="s">
        <v>108</v>
      </c>
      <c r="H135" s="210"/>
      <c r="I135" s="220">
        <v>60</v>
      </c>
      <c r="J135" s="213">
        <f t="shared" si="22"/>
        <v>60</v>
      </c>
      <c r="K135" s="205" t="s">
        <v>48</v>
      </c>
      <c r="L135" s="69"/>
      <c r="M135" s="69">
        <v>60</v>
      </c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71"/>
      <c r="AC135" s="53">
        <f t="shared" si="17"/>
        <v>60</v>
      </c>
    </row>
    <row r="136" spans="1:29" ht="14" x14ac:dyDescent="0.3">
      <c r="A136" s="81">
        <v>44536</v>
      </c>
      <c r="B136" s="65">
        <v>846</v>
      </c>
      <c r="C136" s="44" t="s">
        <v>43</v>
      </c>
      <c r="D136" s="44" t="s">
        <v>159</v>
      </c>
      <c r="E136" s="82" t="s">
        <v>214</v>
      </c>
      <c r="F136" s="82" t="s">
        <v>215</v>
      </c>
      <c r="G136" s="65" t="s">
        <v>117</v>
      </c>
      <c r="H136" s="210"/>
      <c r="I136" s="220">
        <v>25</v>
      </c>
      <c r="J136" s="213">
        <f t="shared" si="22"/>
        <v>25</v>
      </c>
      <c r="K136" s="205" t="s">
        <v>48</v>
      </c>
      <c r="L136" s="69"/>
      <c r="M136" s="69"/>
      <c r="N136" s="69"/>
      <c r="O136" s="69"/>
      <c r="P136" s="69">
        <v>25</v>
      </c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71"/>
      <c r="AC136" s="53">
        <f t="shared" si="17"/>
        <v>25</v>
      </c>
    </row>
    <row r="137" spans="1:29" ht="14" x14ac:dyDescent="0.3">
      <c r="A137" s="81">
        <v>44536</v>
      </c>
      <c r="B137" s="65">
        <v>847</v>
      </c>
      <c r="C137" s="44" t="s">
        <v>190</v>
      </c>
      <c r="D137" s="44" t="s">
        <v>159</v>
      </c>
      <c r="E137" s="82" t="s">
        <v>216</v>
      </c>
      <c r="F137" s="82" t="s">
        <v>217</v>
      </c>
      <c r="G137" s="65" t="s">
        <v>218</v>
      </c>
      <c r="H137" s="210"/>
      <c r="I137" s="220">
        <v>1600</v>
      </c>
      <c r="J137" s="213">
        <f t="shared" si="22"/>
        <v>1600</v>
      </c>
      <c r="K137" s="205" t="s">
        <v>48</v>
      </c>
      <c r="L137" s="69"/>
      <c r="M137" s="69"/>
      <c r="N137" s="69"/>
      <c r="O137" s="69"/>
      <c r="P137" s="69"/>
      <c r="Q137" s="69">
        <v>1600</v>
      </c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71"/>
      <c r="AC137" s="53">
        <f t="shared" si="17"/>
        <v>1600</v>
      </c>
    </row>
    <row r="138" spans="1:29" ht="14" x14ac:dyDescent="0.3">
      <c r="A138" s="81">
        <v>44536</v>
      </c>
      <c r="B138" s="72">
        <v>848</v>
      </c>
      <c r="C138" s="44" t="s">
        <v>43</v>
      </c>
      <c r="D138" s="44" t="s">
        <v>159</v>
      </c>
      <c r="E138" s="82" t="s">
        <v>219</v>
      </c>
      <c r="F138" s="82" t="s">
        <v>220</v>
      </c>
      <c r="G138" s="65" t="s">
        <v>175</v>
      </c>
      <c r="H138" s="210">
        <v>48</v>
      </c>
      <c r="I138" s="220">
        <v>288</v>
      </c>
      <c r="J138" s="213">
        <f t="shared" si="22"/>
        <v>288</v>
      </c>
      <c r="K138" s="209" t="s">
        <v>48</v>
      </c>
      <c r="L138" s="69"/>
      <c r="M138" s="69"/>
      <c r="N138" s="69">
        <v>240</v>
      </c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71"/>
      <c r="AC138" s="53">
        <f t="shared" si="17"/>
        <v>240</v>
      </c>
    </row>
    <row r="139" spans="1:29" ht="14" x14ac:dyDescent="0.3">
      <c r="A139" s="81">
        <v>44536</v>
      </c>
      <c r="B139" s="72">
        <v>849</v>
      </c>
      <c r="C139" s="44" t="s">
        <v>86</v>
      </c>
      <c r="D139" s="44" t="s">
        <v>159</v>
      </c>
      <c r="E139" s="82" t="s">
        <v>221</v>
      </c>
      <c r="F139" s="82" t="s">
        <v>222</v>
      </c>
      <c r="G139" s="65" t="s">
        <v>60</v>
      </c>
      <c r="H139" s="212">
        <v>995.9</v>
      </c>
      <c r="I139" s="220">
        <v>5975.4</v>
      </c>
      <c r="J139" s="213">
        <f t="shared" si="22"/>
        <v>5975.4</v>
      </c>
      <c r="K139" s="205" t="s">
        <v>48</v>
      </c>
      <c r="L139" s="69"/>
      <c r="M139" s="69"/>
      <c r="N139" s="69"/>
      <c r="O139" s="69"/>
      <c r="P139" s="69"/>
      <c r="Q139" s="69"/>
      <c r="R139" s="69"/>
      <c r="S139" s="69"/>
      <c r="T139" s="69"/>
      <c r="U139" s="69">
        <v>4979.5</v>
      </c>
      <c r="V139" s="69"/>
      <c r="W139" s="69"/>
      <c r="X139" s="69"/>
      <c r="Y139" s="69"/>
      <c r="Z139" s="69"/>
      <c r="AA139" s="69"/>
      <c r="AB139" s="71"/>
      <c r="AC139" s="53">
        <f t="shared" si="17"/>
        <v>4979.5</v>
      </c>
    </row>
    <row r="140" spans="1:29" ht="14" x14ac:dyDescent="0.3">
      <c r="A140" s="81">
        <v>44536</v>
      </c>
      <c r="B140" s="72">
        <v>850</v>
      </c>
      <c r="C140" s="44" t="s">
        <v>43</v>
      </c>
      <c r="D140" s="44" t="s">
        <v>159</v>
      </c>
      <c r="E140" s="82" t="s">
        <v>223</v>
      </c>
      <c r="F140" s="82" t="s">
        <v>224</v>
      </c>
      <c r="G140" s="65" t="s">
        <v>69</v>
      </c>
      <c r="H140" s="66">
        <v>17.329999999999998</v>
      </c>
      <c r="I140" s="220">
        <v>103.96</v>
      </c>
      <c r="J140" s="230">
        <f t="shared" si="22"/>
        <v>103.96</v>
      </c>
      <c r="K140" s="209" t="s">
        <v>48</v>
      </c>
      <c r="L140" s="69"/>
      <c r="M140" s="69"/>
      <c r="N140" s="69"/>
      <c r="O140" s="69">
        <v>86.63</v>
      </c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71"/>
      <c r="AC140" s="53">
        <f t="shared" si="17"/>
        <v>86.63</v>
      </c>
    </row>
    <row r="141" spans="1:29" ht="14" x14ac:dyDescent="0.3">
      <c r="A141" s="81">
        <v>44536</v>
      </c>
      <c r="B141" s="72">
        <v>851</v>
      </c>
      <c r="C141" s="44" t="s">
        <v>184</v>
      </c>
      <c r="D141" s="44" t="s">
        <v>159</v>
      </c>
      <c r="E141" s="82" t="s">
        <v>185</v>
      </c>
      <c r="F141" s="82" t="s">
        <v>225</v>
      </c>
      <c r="G141" s="65" t="s">
        <v>204</v>
      </c>
      <c r="H141" s="66">
        <v>26.4</v>
      </c>
      <c r="I141" s="220">
        <v>158.4</v>
      </c>
      <c r="J141" s="213">
        <f t="shared" si="22"/>
        <v>158.4</v>
      </c>
      <c r="K141" s="209" t="s">
        <v>48</v>
      </c>
      <c r="L141" s="69"/>
      <c r="M141" s="69"/>
      <c r="N141" s="69"/>
      <c r="O141" s="69"/>
      <c r="P141" s="69"/>
      <c r="Q141" s="69"/>
      <c r="R141" s="69">
        <v>132</v>
      </c>
      <c r="S141" s="69"/>
      <c r="T141" s="69"/>
      <c r="U141" s="69"/>
      <c r="V141" s="69"/>
      <c r="W141" s="69"/>
      <c r="X141" s="69"/>
      <c r="Y141" s="69"/>
      <c r="Z141" s="69"/>
      <c r="AA141" s="69"/>
      <c r="AB141" s="71"/>
      <c r="AC141" s="53">
        <f t="shared" si="17"/>
        <v>132</v>
      </c>
    </row>
    <row r="142" spans="1:29" ht="14" x14ac:dyDescent="0.3">
      <c r="A142" s="81">
        <v>44536</v>
      </c>
      <c r="B142" s="72">
        <v>852</v>
      </c>
      <c r="C142" s="44" t="s">
        <v>43</v>
      </c>
      <c r="D142" s="44" t="s">
        <v>159</v>
      </c>
      <c r="E142" s="82" t="s">
        <v>93</v>
      </c>
      <c r="F142" s="82" t="s">
        <v>226</v>
      </c>
      <c r="G142" s="65" t="s">
        <v>95</v>
      </c>
      <c r="H142" s="66">
        <v>39.33</v>
      </c>
      <c r="I142" s="220">
        <v>236</v>
      </c>
      <c r="J142" s="213">
        <f t="shared" si="22"/>
        <v>236</v>
      </c>
      <c r="K142" s="205" t="s">
        <v>48</v>
      </c>
      <c r="L142" s="69"/>
      <c r="M142" s="69"/>
      <c r="N142" s="69">
        <v>196.67</v>
      </c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71"/>
      <c r="AC142" s="53">
        <f t="shared" si="17"/>
        <v>196.67</v>
      </c>
    </row>
    <row r="143" spans="1:29" ht="14" x14ac:dyDescent="0.3">
      <c r="A143" s="81"/>
      <c r="B143" s="72"/>
      <c r="C143" s="44"/>
      <c r="D143" s="44"/>
      <c r="E143" s="82"/>
      <c r="F143" s="82"/>
      <c r="G143" s="65"/>
      <c r="H143" s="66"/>
      <c r="I143" s="220"/>
      <c r="J143" s="213">
        <f t="shared" si="22"/>
        <v>0</v>
      </c>
      <c r="K143" s="20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71"/>
      <c r="AC143" s="53">
        <f t="shared" si="17"/>
        <v>0</v>
      </c>
    </row>
    <row r="144" spans="1:29" ht="14" x14ac:dyDescent="0.3">
      <c r="A144" s="81"/>
      <c r="B144" s="72"/>
      <c r="C144" s="44"/>
      <c r="D144" s="44"/>
      <c r="E144" s="82"/>
      <c r="F144" s="82"/>
      <c r="G144" s="65"/>
      <c r="H144" s="66"/>
      <c r="I144" s="220"/>
      <c r="J144" s="213">
        <f t="shared" si="22"/>
        <v>0</v>
      </c>
      <c r="K144" s="85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71"/>
      <c r="AC144" s="53">
        <f t="shared" si="17"/>
        <v>0</v>
      </c>
    </row>
    <row r="145" spans="1:29" ht="14" x14ac:dyDescent="0.3">
      <c r="A145" s="81"/>
      <c r="B145" s="72"/>
      <c r="C145" s="44"/>
      <c r="D145" s="44"/>
      <c r="E145" s="231"/>
      <c r="F145" s="141"/>
      <c r="G145" s="72"/>
      <c r="H145" s="66"/>
      <c r="I145" s="148"/>
      <c r="J145" s="213">
        <f t="shared" si="22"/>
        <v>0</v>
      </c>
      <c r="K145" s="85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71"/>
      <c r="AC145" s="53">
        <f t="shared" si="17"/>
        <v>0</v>
      </c>
    </row>
    <row r="146" spans="1:29" ht="14.5" thickBot="1" x14ac:dyDescent="0.35">
      <c r="A146" s="117"/>
      <c r="B146" s="118"/>
      <c r="C146" s="119"/>
      <c r="D146" s="117"/>
      <c r="E146" s="117"/>
      <c r="F146" s="117" t="s">
        <v>227</v>
      </c>
      <c r="G146" s="117"/>
      <c r="H146" s="232">
        <f>+SUM(H90:H145)</f>
        <v>3239.5699999999993</v>
      </c>
      <c r="I146" s="163">
        <f>+SUM(I90:I145)</f>
        <v>25569.9</v>
      </c>
      <c r="J146" s="179">
        <f>+SUM(L146:AB146)+H146</f>
        <v>25569.899999999998</v>
      </c>
      <c r="K146" s="233"/>
      <c r="L146" s="166">
        <f t="shared" ref="L146:AB146" si="25">+SUM(L90:L145)</f>
        <v>2305.5</v>
      </c>
      <c r="M146" s="166">
        <f t="shared" si="25"/>
        <v>647.43999999999994</v>
      </c>
      <c r="N146" s="166">
        <f t="shared" si="25"/>
        <v>1226.8900000000001</v>
      </c>
      <c r="O146" s="166">
        <f t="shared" si="25"/>
        <v>311.36</v>
      </c>
      <c r="P146" s="166">
        <f t="shared" si="25"/>
        <v>25</v>
      </c>
      <c r="Q146" s="166">
        <f t="shared" si="25"/>
        <v>2150</v>
      </c>
      <c r="R146" s="166">
        <f t="shared" si="25"/>
        <v>719.7</v>
      </c>
      <c r="S146" s="166">
        <f t="shared" si="25"/>
        <v>193.01999999999998</v>
      </c>
      <c r="T146" s="166">
        <f t="shared" si="25"/>
        <v>9771.9199999999983</v>
      </c>
      <c r="U146" s="166">
        <f t="shared" si="25"/>
        <v>4979.5</v>
      </c>
      <c r="V146" s="166">
        <f t="shared" si="25"/>
        <v>0</v>
      </c>
      <c r="W146" s="166">
        <f t="shared" si="25"/>
        <v>0</v>
      </c>
      <c r="X146" s="166">
        <f t="shared" si="25"/>
        <v>0</v>
      </c>
      <c r="Y146" s="166">
        <f t="shared" si="25"/>
        <v>0</v>
      </c>
      <c r="Z146" s="166">
        <f t="shared" si="25"/>
        <v>0</v>
      </c>
      <c r="AA146" s="166">
        <f t="shared" si="25"/>
        <v>0</v>
      </c>
      <c r="AB146" s="166">
        <f t="shared" si="25"/>
        <v>0</v>
      </c>
      <c r="AC146" s="53">
        <f t="shared" si="17"/>
        <v>22330.329999999998</v>
      </c>
    </row>
    <row r="147" spans="1:29" ht="14" x14ac:dyDescent="0.3">
      <c r="A147" s="234"/>
      <c r="B147" s="235"/>
      <c r="C147" s="236"/>
      <c r="D147" s="234"/>
      <c r="E147" s="234"/>
      <c r="F147" s="234"/>
      <c r="G147" s="234"/>
      <c r="H147" s="237"/>
      <c r="I147" s="153"/>
      <c r="J147" s="238"/>
      <c r="K147" s="239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1"/>
      <c r="AC147" s="53">
        <f t="shared" si="17"/>
        <v>0</v>
      </c>
    </row>
    <row r="148" spans="1:29" ht="14.5" thickBot="1" x14ac:dyDescent="0.35">
      <c r="A148" s="242"/>
      <c r="B148" s="243"/>
      <c r="C148" s="244"/>
      <c r="D148" s="242"/>
      <c r="E148" s="242"/>
      <c r="F148" s="242" t="s">
        <v>228</v>
      </c>
      <c r="G148" s="242"/>
      <c r="H148" s="245">
        <f>+H87+H146</f>
        <v>17012.579999999998</v>
      </c>
      <c r="I148" s="246">
        <f>+I87+I146</f>
        <v>116741.60999999999</v>
      </c>
      <c r="J148" s="247">
        <f>+SUM(L148:AB148)+H148</f>
        <v>116741.60999999999</v>
      </c>
      <c r="K148" s="248"/>
      <c r="L148" s="249">
        <f t="shared" ref="L148:AB148" si="26">+L87+L146</f>
        <v>8665.7099999999991</v>
      </c>
      <c r="M148" s="249">
        <f t="shared" si="26"/>
        <v>3030.1200000000003</v>
      </c>
      <c r="N148" s="249">
        <f t="shared" si="26"/>
        <v>3244.91</v>
      </c>
      <c r="O148" s="249">
        <f t="shared" si="26"/>
        <v>926.91</v>
      </c>
      <c r="P148" s="249">
        <f t="shared" si="26"/>
        <v>588.24</v>
      </c>
      <c r="Q148" s="249">
        <f t="shared" si="26"/>
        <v>2150</v>
      </c>
      <c r="R148" s="249">
        <f t="shared" si="26"/>
        <v>733.62</v>
      </c>
      <c r="S148" s="249">
        <f t="shared" si="26"/>
        <v>214.71999999999997</v>
      </c>
      <c r="T148" s="249">
        <f t="shared" si="26"/>
        <v>74980.149999999994</v>
      </c>
      <c r="U148" s="249">
        <f t="shared" si="26"/>
        <v>5194.6499999999996</v>
      </c>
      <c r="V148" s="249">
        <f t="shared" si="26"/>
        <v>0</v>
      </c>
      <c r="W148" s="249">
        <f t="shared" si="26"/>
        <v>0</v>
      </c>
      <c r="X148" s="249">
        <f t="shared" si="26"/>
        <v>0</v>
      </c>
      <c r="Y148" s="249">
        <f t="shared" si="26"/>
        <v>0</v>
      </c>
      <c r="Z148" s="249">
        <f t="shared" si="26"/>
        <v>0</v>
      </c>
      <c r="AA148" s="249">
        <f t="shared" si="26"/>
        <v>0</v>
      </c>
      <c r="AB148" s="250">
        <f t="shared" si="26"/>
        <v>0</v>
      </c>
      <c r="AC148" s="53">
        <f t="shared" si="17"/>
        <v>99729.029999999984</v>
      </c>
    </row>
    <row r="149" spans="1:29" ht="14.5" thickTop="1" x14ac:dyDescent="0.3">
      <c r="A149" s="121"/>
      <c r="B149" s="87"/>
      <c r="C149" s="88"/>
      <c r="D149" s="121"/>
      <c r="E149" s="121"/>
      <c r="F149" s="121"/>
      <c r="G149" s="121"/>
      <c r="H149" s="122"/>
      <c r="I149" s="123"/>
      <c r="J149" s="124"/>
      <c r="K149" s="125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7"/>
      <c r="AC149" s="53">
        <f t="shared" si="17"/>
        <v>0</v>
      </c>
    </row>
    <row r="150" spans="1:29" ht="14" x14ac:dyDescent="0.3">
      <c r="A150" s="21" t="s">
        <v>18</v>
      </c>
      <c r="B150" s="21" t="s">
        <v>19</v>
      </c>
      <c r="C150" s="22" t="s">
        <v>20</v>
      </c>
      <c r="D150" s="21" t="s">
        <v>21</v>
      </c>
      <c r="E150" s="21" t="s">
        <v>22</v>
      </c>
      <c r="F150" s="21" t="s">
        <v>23</v>
      </c>
      <c r="G150" s="21"/>
      <c r="H150" s="23" t="s">
        <v>4</v>
      </c>
      <c r="I150" s="24" t="s">
        <v>26</v>
      </c>
      <c r="J150" s="128" t="s">
        <v>27</v>
      </c>
      <c r="K150" s="129" t="s">
        <v>28</v>
      </c>
      <c r="L150" s="21" t="str">
        <f t="shared" ref="L150:AB150" si="27">L7</f>
        <v>STAFF COSTS</v>
      </c>
      <c r="M150" s="21" t="str">
        <f t="shared" si="27"/>
        <v>ADMINISTRATION COSTS</v>
      </c>
      <c r="N150" s="21" t="str">
        <f t="shared" si="27"/>
        <v>PARK &amp; OPEN SPACES</v>
      </c>
      <c r="O150" s="21" t="str">
        <f t="shared" si="27"/>
        <v>CHURCHYARD</v>
      </c>
      <c r="P150" s="21" t="str">
        <f t="shared" si="27"/>
        <v>SUBSCRIPTIONS</v>
      </c>
      <c r="Q150" s="21" t="str">
        <f t="shared" si="27"/>
        <v xml:space="preserve">GRANTS &amp; DONATIONS </v>
      </c>
      <c r="R150" s="21" t="str">
        <f t="shared" si="27"/>
        <v>OTHER</v>
      </c>
      <c r="S150" s="21" t="str">
        <f t="shared" si="27"/>
        <v>CONTINGENCY</v>
      </c>
      <c r="T150" s="21" t="str">
        <f t="shared" si="27"/>
        <v>EARMARKED RESERVE FUNDS</v>
      </c>
      <c r="U150" s="21" t="str">
        <f t="shared" si="27"/>
        <v xml:space="preserve">CAPITAL </v>
      </c>
      <c r="V150" s="21">
        <f t="shared" si="27"/>
        <v>0</v>
      </c>
      <c r="W150" s="21">
        <f t="shared" si="27"/>
        <v>0</v>
      </c>
      <c r="X150" s="21">
        <f t="shared" si="27"/>
        <v>0</v>
      </c>
      <c r="Y150" s="21" t="str">
        <f t="shared" si="27"/>
        <v>Cap Project</v>
      </c>
      <c r="Z150" s="21" t="str">
        <f t="shared" si="27"/>
        <v>Cap Project</v>
      </c>
      <c r="AA150" s="21" t="str">
        <f t="shared" si="27"/>
        <v>Cap Project</v>
      </c>
      <c r="AB150" s="130" t="str">
        <f t="shared" si="27"/>
        <v>Other</v>
      </c>
      <c r="AC150" s="53">
        <f t="shared" si="17"/>
        <v>0</v>
      </c>
    </row>
    <row r="151" spans="1:29" ht="14.5" thickBot="1" x14ac:dyDescent="0.35">
      <c r="A151" s="29"/>
      <c r="B151" s="29"/>
      <c r="C151" s="30"/>
      <c r="D151" s="29" t="s">
        <v>21</v>
      </c>
      <c r="E151" s="29"/>
      <c r="F151" s="29"/>
      <c r="G151" s="29"/>
      <c r="H151" s="31"/>
      <c r="I151" s="32"/>
      <c r="J151" s="33" t="s">
        <v>26</v>
      </c>
      <c r="K151" s="34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131"/>
      <c r="AC151" s="53">
        <f t="shared" si="17"/>
        <v>0</v>
      </c>
    </row>
    <row r="152" spans="1:29" ht="14" x14ac:dyDescent="0.3">
      <c r="A152" s="251"/>
      <c r="B152" s="252"/>
      <c r="C152" s="37"/>
      <c r="D152" s="251"/>
      <c r="E152" s="251"/>
      <c r="F152" s="251"/>
      <c r="G152" s="251"/>
      <c r="H152" s="38"/>
      <c r="I152" s="253"/>
      <c r="J152" s="254"/>
      <c r="K152" s="255"/>
      <c r="L152" s="36" t="s">
        <v>8</v>
      </c>
      <c r="M152" s="36" t="s">
        <v>9</v>
      </c>
      <c r="N152" s="36" t="s">
        <v>10</v>
      </c>
      <c r="O152" s="36" t="s">
        <v>11</v>
      </c>
      <c r="P152" s="36" t="s">
        <v>12</v>
      </c>
      <c r="Q152" s="36" t="s">
        <v>13</v>
      </c>
      <c r="R152" s="36" t="s">
        <v>14</v>
      </c>
      <c r="S152" s="36" t="s">
        <v>15</v>
      </c>
      <c r="T152" s="36" t="s">
        <v>16</v>
      </c>
      <c r="U152" s="36" t="s">
        <v>17</v>
      </c>
      <c r="V152" s="36" t="s">
        <v>36</v>
      </c>
      <c r="W152" s="36" t="s">
        <v>37</v>
      </c>
      <c r="X152" s="36" t="s">
        <v>38</v>
      </c>
      <c r="Y152" s="36" t="s">
        <v>39</v>
      </c>
      <c r="Z152" s="36" t="s">
        <v>40</v>
      </c>
      <c r="AA152" s="36" t="s">
        <v>41</v>
      </c>
      <c r="AB152" s="139" t="s">
        <v>42</v>
      </c>
      <c r="AC152" s="53">
        <f t="shared" si="17"/>
        <v>0</v>
      </c>
    </row>
    <row r="153" spans="1:29" s="54" customFormat="1" ht="14" x14ac:dyDescent="0.3">
      <c r="A153" s="81">
        <v>44571</v>
      </c>
      <c r="B153" s="256">
        <v>853</v>
      </c>
      <c r="C153" s="257" t="s">
        <v>86</v>
      </c>
      <c r="D153" s="44" t="s">
        <v>229</v>
      </c>
      <c r="E153" s="258" t="s">
        <v>230</v>
      </c>
      <c r="F153" s="258" t="s">
        <v>231</v>
      </c>
      <c r="G153" s="258" t="s">
        <v>204</v>
      </c>
      <c r="H153" s="259">
        <v>36</v>
      </c>
      <c r="I153" s="260">
        <v>216</v>
      </c>
      <c r="J153" s="230">
        <f t="shared" ref="J153:J185" si="28">+SUM(L153:AB153)+H153</f>
        <v>216</v>
      </c>
      <c r="K153" s="261" t="s">
        <v>232</v>
      </c>
      <c r="L153" s="262"/>
      <c r="M153" s="263"/>
      <c r="N153" s="263"/>
      <c r="O153" s="263"/>
      <c r="P153" s="263"/>
      <c r="Q153" s="263"/>
      <c r="R153" s="263">
        <v>180</v>
      </c>
      <c r="S153" s="263"/>
      <c r="T153" s="263"/>
      <c r="U153" s="214"/>
      <c r="V153" s="214"/>
      <c r="W153" s="214"/>
      <c r="X153" s="214"/>
      <c r="Y153" s="214"/>
      <c r="Z153" s="214"/>
      <c r="AA153" s="214"/>
      <c r="AB153" s="264"/>
      <c r="AC153" s="53">
        <f t="shared" si="17"/>
        <v>180</v>
      </c>
    </row>
    <row r="154" spans="1:29" ht="14" x14ac:dyDescent="0.3">
      <c r="A154" s="81">
        <v>44571</v>
      </c>
      <c r="B154" s="72">
        <v>854</v>
      </c>
      <c r="C154" s="44" t="s">
        <v>43</v>
      </c>
      <c r="D154" s="44" t="s">
        <v>229</v>
      </c>
      <c r="E154" s="82" t="s">
        <v>45</v>
      </c>
      <c r="F154" s="82" t="s">
        <v>233</v>
      </c>
      <c r="G154" s="43" t="s">
        <v>47</v>
      </c>
      <c r="H154" s="66"/>
      <c r="I154" s="198">
        <v>766.78</v>
      </c>
      <c r="J154" s="213">
        <f t="shared" si="28"/>
        <v>766.78</v>
      </c>
      <c r="K154" s="75" t="s">
        <v>232</v>
      </c>
      <c r="L154" s="265">
        <v>766.78</v>
      </c>
      <c r="M154" s="146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146"/>
      <c r="AA154" s="146"/>
      <c r="AB154" s="266"/>
      <c r="AC154" s="53">
        <f t="shared" si="17"/>
        <v>766.78</v>
      </c>
    </row>
    <row r="155" spans="1:29" ht="14" x14ac:dyDescent="0.3">
      <c r="A155" s="81">
        <v>44571</v>
      </c>
      <c r="B155" s="72">
        <v>854</v>
      </c>
      <c r="C155" s="44" t="s">
        <v>43</v>
      </c>
      <c r="D155" s="44" t="s">
        <v>229</v>
      </c>
      <c r="E155" s="82" t="s">
        <v>45</v>
      </c>
      <c r="F155" s="55" t="s">
        <v>234</v>
      </c>
      <c r="G155" s="43" t="s">
        <v>52</v>
      </c>
      <c r="H155" s="46">
        <v>1</v>
      </c>
      <c r="I155" s="198">
        <v>6</v>
      </c>
      <c r="J155" s="213">
        <f t="shared" si="28"/>
        <v>6</v>
      </c>
      <c r="K155" s="49" t="s">
        <v>232</v>
      </c>
      <c r="L155" s="267"/>
      <c r="M155" s="50">
        <v>5</v>
      </c>
      <c r="N155" s="50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146"/>
      <c r="AA155" s="146"/>
      <c r="AB155" s="266"/>
      <c r="AC155" s="53">
        <f t="shared" si="17"/>
        <v>5</v>
      </c>
    </row>
    <row r="156" spans="1:29" ht="14" x14ac:dyDescent="0.3">
      <c r="A156" s="81">
        <v>44571</v>
      </c>
      <c r="B156" s="72">
        <v>854</v>
      </c>
      <c r="C156" s="44" t="s">
        <v>43</v>
      </c>
      <c r="D156" s="44" t="s">
        <v>229</v>
      </c>
      <c r="E156" s="82" t="s">
        <v>45</v>
      </c>
      <c r="F156" s="62" t="s">
        <v>235</v>
      </c>
      <c r="G156" s="43" t="s">
        <v>54</v>
      </c>
      <c r="H156" s="66"/>
      <c r="I156" s="198">
        <v>14.88</v>
      </c>
      <c r="J156" s="213">
        <f t="shared" si="28"/>
        <v>14.88</v>
      </c>
      <c r="K156" s="49" t="s">
        <v>232</v>
      </c>
      <c r="L156" s="50"/>
      <c r="M156" s="50">
        <v>14.88</v>
      </c>
      <c r="N156" s="50"/>
      <c r="O156" s="268"/>
      <c r="P156" s="268"/>
      <c r="Q156" s="268"/>
      <c r="R156" s="268"/>
      <c r="S156" s="69"/>
      <c r="T156" s="69"/>
      <c r="U156" s="69"/>
      <c r="V156" s="69"/>
      <c r="W156" s="69"/>
      <c r="X156" s="69"/>
      <c r="Y156" s="69"/>
      <c r="Z156" s="146"/>
      <c r="AA156" s="146"/>
      <c r="AB156" s="266"/>
      <c r="AC156" s="53">
        <f t="shared" si="17"/>
        <v>14.88</v>
      </c>
    </row>
    <row r="157" spans="1:29" ht="14" x14ac:dyDescent="0.3">
      <c r="A157" s="81">
        <v>44571</v>
      </c>
      <c r="B157" s="72">
        <v>854</v>
      </c>
      <c r="C157" s="44" t="s">
        <v>43</v>
      </c>
      <c r="D157" s="44" t="s">
        <v>229</v>
      </c>
      <c r="E157" s="82" t="s">
        <v>45</v>
      </c>
      <c r="F157" s="55" t="s">
        <v>236</v>
      </c>
      <c r="G157" s="43" t="s">
        <v>76</v>
      </c>
      <c r="H157" s="46"/>
      <c r="I157" s="198">
        <v>39.99</v>
      </c>
      <c r="J157" s="213">
        <f t="shared" si="28"/>
        <v>39.99</v>
      </c>
      <c r="K157" s="49" t="s">
        <v>232</v>
      </c>
      <c r="L157" s="50"/>
      <c r="M157" s="50">
        <v>39.99</v>
      </c>
      <c r="N157" s="50"/>
      <c r="O157" s="268"/>
      <c r="P157" s="268"/>
      <c r="Q157" s="268"/>
      <c r="R157" s="268"/>
      <c r="S157" s="69"/>
      <c r="T157" s="69"/>
      <c r="U157" s="69"/>
      <c r="V157" s="69"/>
      <c r="W157" s="69"/>
      <c r="X157" s="69"/>
      <c r="Y157" s="69"/>
      <c r="Z157" s="146"/>
      <c r="AA157" s="146"/>
      <c r="AB157" s="266"/>
      <c r="AC157" s="53">
        <f t="shared" si="17"/>
        <v>39.99</v>
      </c>
    </row>
    <row r="158" spans="1:29" ht="14" x14ac:dyDescent="0.3">
      <c r="A158" s="81">
        <v>44571</v>
      </c>
      <c r="B158" s="72">
        <v>855</v>
      </c>
      <c r="C158" s="44" t="s">
        <v>43</v>
      </c>
      <c r="D158" s="44" t="s">
        <v>229</v>
      </c>
      <c r="E158" s="82" t="s">
        <v>64</v>
      </c>
      <c r="F158" s="64" t="s">
        <v>65</v>
      </c>
      <c r="G158" s="65" t="s">
        <v>66</v>
      </c>
      <c r="H158" s="66"/>
      <c r="I158" s="203">
        <v>5.16</v>
      </c>
      <c r="J158" s="213">
        <f t="shared" si="28"/>
        <v>5.16</v>
      </c>
      <c r="K158" s="49" t="s">
        <v>232</v>
      </c>
      <c r="L158" s="50">
        <v>5.16</v>
      </c>
      <c r="M158" s="50"/>
      <c r="N158" s="50"/>
      <c r="O158" s="268"/>
      <c r="P158" s="268"/>
      <c r="Q158" s="268"/>
      <c r="R158" s="269"/>
      <c r="S158" s="270"/>
      <c r="T158" s="69"/>
      <c r="U158" s="69"/>
      <c r="V158" s="69"/>
      <c r="W158" s="69"/>
      <c r="X158" s="69"/>
      <c r="Y158" s="69"/>
      <c r="Z158" s="146"/>
      <c r="AA158" s="146"/>
      <c r="AB158" s="266"/>
      <c r="AC158" s="53">
        <f t="shared" si="17"/>
        <v>5.16</v>
      </c>
    </row>
    <row r="159" spans="1:29" ht="14" x14ac:dyDescent="0.3">
      <c r="A159" s="81">
        <v>44571</v>
      </c>
      <c r="B159" s="72">
        <v>856</v>
      </c>
      <c r="C159" s="44" t="s">
        <v>43</v>
      </c>
      <c r="D159" s="44" t="s">
        <v>229</v>
      </c>
      <c r="E159" s="82" t="s">
        <v>237</v>
      </c>
      <c r="F159" s="64" t="s">
        <v>238</v>
      </c>
      <c r="G159" s="206" t="s">
        <v>239</v>
      </c>
      <c r="H159" s="77">
        <v>60</v>
      </c>
      <c r="I159" s="208">
        <v>360</v>
      </c>
      <c r="J159" s="213">
        <f t="shared" si="28"/>
        <v>360</v>
      </c>
      <c r="K159" s="205" t="s">
        <v>232</v>
      </c>
      <c r="L159" s="268"/>
      <c r="M159" s="268">
        <v>300</v>
      </c>
      <c r="N159" s="268"/>
      <c r="O159" s="268"/>
      <c r="P159" s="268"/>
      <c r="Q159" s="268"/>
      <c r="R159" s="268"/>
      <c r="S159" s="69"/>
      <c r="T159" s="146"/>
      <c r="U159" s="146"/>
      <c r="V159" s="146"/>
      <c r="W159" s="146"/>
      <c r="X159" s="146"/>
      <c r="Y159" s="146"/>
      <c r="Z159" s="146"/>
      <c r="AA159" s="146"/>
      <c r="AB159" s="266"/>
      <c r="AC159" s="53">
        <f t="shared" si="17"/>
        <v>300</v>
      </c>
    </row>
    <row r="160" spans="1:29" ht="14" x14ac:dyDescent="0.3">
      <c r="A160" s="81">
        <v>44571</v>
      </c>
      <c r="B160" s="72">
        <v>857</v>
      </c>
      <c r="C160" s="44" t="s">
        <v>43</v>
      </c>
      <c r="D160" s="44" t="s">
        <v>229</v>
      </c>
      <c r="E160" s="82" t="s">
        <v>223</v>
      </c>
      <c r="F160" s="82" t="s">
        <v>149</v>
      </c>
      <c r="G160" s="65" t="s">
        <v>69</v>
      </c>
      <c r="H160" s="212">
        <v>20.96</v>
      </c>
      <c r="I160" s="220">
        <v>125.76</v>
      </c>
      <c r="J160" s="213">
        <f t="shared" si="28"/>
        <v>125.75999999999999</v>
      </c>
      <c r="K160" s="79" t="s">
        <v>232</v>
      </c>
      <c r="L160" s="80"/>
      <c r="M160" s="268"/>
      <c r="N160" s="268"/>
      <c r="O160" s="268">
        <v>104.8</v>
      </c>
      <c r="P160" s="268"/>
      <c r="Q160" s="268"/>
      <c r="R160" s="269"/>
      <c r="S160" s="270"/>
      <c r="T160" s="146"/>
      <c r="U160" s="146"/>
      <c r="V160" s="146"/>
      <c r="W160" s="146"/>
      <c r="X160" s="146"/>
      <c r="Y160" s="146"/>
      <c r="Z160" s="146"/>
      <c r="AA160" s="146"/>
      <c r="AB160" s="266"/>
      <c r="AC160" s="53">
        <f t="shared" si="17"/>
        <v>104.8</v>
      </c>
    </row>
    <row r="161" spans="1:29" ht="14" x14ac:dyDescent="0.3">
      <c r="A161" s="81">
        <v>44571</v>
      </c>
      <c r="B161" s="72">
        <v>858</v>
      </c>
      <c r="C161" s="44" t="s">
        <v>43</v>
      </c>
      <c r="D161" s="44" t="s">
        <v>229</v>
      </c>
      <c r="E161" s="82" t="s">
        <v>93</v>
      </c>
      <c r="F161" s="82" t="s">
        <v>136</v>
      </c>
      <c r="G161" s="65" t="s">
        <v>95</v>
      </c>
      <c r="H161" s="210">
        <v>35.33</v>
      </c>
      <c r="I161" s="220">
        <v>212</v>
      </c>
      <c r="J161" s="213">
        <f t="shared" si="28"/>
        <v>212</v>
      </c>
      <c r="K161" s="79" t="s">
        <v>232</v>
      </c>
      <c r="L161" s="80"/>
      <c r="M161" s="80"/>
      <c r="N161" s="268">
        <v>176.67</v>
      </c>
      <c r="O161" s="268"/>
      <c r="P161" s="268"/>
      <c r="Q161" s="268"/>
      <c r="R161" s="269"/>
      <c r="S161" s="270"/>
      <c r="T161" s="69"/>
      <c r="U161" s="69"/>
      <c r="V161" s="69"/>
      <c r="W161" s="69"/>
      <c r="X161" s="69"/>
      <c r="Y161" s="69"/>
      <c r="Z161" s="146"/>
      <c r="AA161" s="146"/>
      <c r="AB161" s="266"/>
      <c r="AC161" s="53">
        <f t="shared" si="17"/>
        <v>176.67</v>
      </c>
    </row>
    <row r="162" spans="1:29" ht="14" x14ac:dyDescent="0.3">
      <c r="A162" s="81">
        <v>44571</v>
      </c>
      <c r="B162" s="72">
        <v>859</v>
      </c>
      <c r="C162" s="44" t="s">
        <v>43</v>
      </c>
      <c r="D162" s="44" t="s">
        <v>229</v>
      </c>
      <c r="E162" s="82" t="s">
        <v>219</v>
      </c>
      <c r="F162" s="82" t="s">
        <v>240</v>
      </c>
      <c r="G162" s="227" t="s">
        <v>241</v>
      </c>
      <c r="H162" s="66">
        <v>479</v>
      </c>
      <c r="I162" s="155">
        <v>2874</v>
      </c>
      <c r="J162" s="91">
        <f t="shared" si="28"/>
        <v>2874</v>
      </c>
      <c r="K162" s="79" t="s">
        <v>232</v>
      </c>
      <c r="L162" s="268"/>
      <c r="M162" s="268"/>
      <c r="N162" s="268"/>
      <c r="O162" s="268"/>
      <c r="P162" s="268"/>
      <c r="Q162" s="80"/>
      <c r="R162" s="80">
        <v>2395</v>
      </c>
      <c r="S162" s="146"/>
      <c r="T162" s="146"/>
      <c r="U162" s="146"/>
      <c r="V162" s="146"/>
      <c r="W162" s="146"/>
      <c r="X162" s="146"/>
      <c r="Y162" s="146"/>
      <c r="Z162" s="146"/>
      <c r="AA162" s="146"/>
      <c r="AB162" s="266"/>
      <c r="AC162" s="53">
        <f t="shared" si="17"/>
        <v>2395</v>
      </c>
    </row>
    <row r="163" spans="1:29" ht="14" x14ac:dyDescent="0.3">
      <c r="A163" s="95">
        <v>44573</v>
      </c>
      <c r="B163" s="65" t="s">
        <v>73</v>
      </c>
      <c r="C163" s="44" t="s">
        <v>43</v>
      </c>
      <c r="D163" s="44" t="s">
        <v>229</v>
      </c>
      <c r="E163" s="64" t="s">
        <v>74</v>
      </c>
      <c r="F163" s="64" t="s">
        <v>75</v>
      </c>
      <c r="G163" s="76" t="s">
        <v>76</v>
      </c>
      <c r="H163" s="77">
        <v>2.09</v>
      </c>
      <c r="I163" s="78">
        <v>12.56</v>
      </c>
      <c r="J163" s="74">
        <f t="shared" si="28"/>
        <v>12.56</v>
      </c>
      <c r="K163" s="79" t="s">
        <v>48</v>
      </c>
      <c r="L163" s="80"/>
      <c r="M163" s="80">
        <v>10.47</v>
      </c>
      <c r="N163" s="80"/>
      <c r="O163" s="80"/>
      <c r="P163" s="80"/>
      <c r="Q163" s="80"/>
      <c r="R163" s="80"/>
      <c r="S163" s="146"/>
      <c r="T163" s="146"/>
      <c r="U163" s="146"/>
      <c r="V163" s="146"/>
      <c r="W163" s="146"/>
      <c r="X163" s="146"/>
      <c r="Y163" s="146"/>
      <c r="Z163" s="146"/>
      <c r="AA163" s="146"/>
      <c r="AB163" s="266"/>
      <c r="AC163" s="53">
        <f t="shared" si="17"/>
        <v>10.47</v>
      </c>
    </row>
    <row r="164" spans="1:29" ht="14" x14ac:dyDescent="0.3">
      <c r="A164" s="81">
        <v>44599</v>
      </c>
      <c r="B164" s="72">
        <v>860</v>
      </c>
      <c r="C164" s="44" t="s">
        <v>43</v>
      </c>
      <c r="D164" s="65" t="s">
        <v>229</v>
      </c>
      <c r="E164" s="141" t="s">
        <v>45</v>
      </c>
      <c r="F164" s="82" t="s">
        <v>242</v>
      </c>
      <c r="G164" s="43" t="s">
        <v>47</v>
      </c>
      <c r="H164" s="66"/>
      <c r="I164" s="198">
        <v>766.78</v>
      </c>
      <c r="J164" s="213">
        <f t="shared" si="28"/>
        <v>766.78</v>
      </c>
      <c r="K164" s="75" t="s">
        <v>48</v>
      </c>
      <c r="L164" s="265">
        <v>766.78</v>
      </c>
      <c r="M164" s="146"/>
      <c r="N164" s="80"/>
      <c r="O164" s="80"/>
      <c r="P164" s="80"/>
      <c r="Q164" s="80"/>
      <c r="R164" s="80"/>
      <c r="S164" s="146"/>
      <c r="T164" s="146"/>
      <c r="U164" s="146"/>
      <c r="V164" s="146"/>
      <c r="W164" s="146"/>
      <c r="X164" s="146"/>
      <c r="Y164" s="146"/>
      <c r="Z164" s="146"/>
      <c r="AA164" s="146"/>
      <c r="AB164" s="266"/>
      <c r="AC164" s="53">
        <f t="shared" si="17"/>
        <v>766.78</v>
      </c>
    </row>
    <row r="165" spans="1:29" ht="14" x14ac:dyDescent="0.3">
      <c r="A165" s="81">
        <v>44599</v>
      </c>
      <c r="B165" s="72">
        <v>860</v>
      </c>
      <c r="C165" s="44" t="s">
        <v>43</v>
      </c>
      <c r="D165" s="65" t="s">
        <v>229</v>
      </c>
      <c r="E165" s="141" t="s">
        <v>45</v>
      </c>
      <c r="F165" s="55" t="s">
        <v>243</v>
      </c>
      <c r="G165" s="43" t="s">
        <v>52</v>
      </c>
      <c r="H165" s="46">
        <v>1</v>
      </c>
      <c r="I165" s="198">
        <v>6</v>
      </c>
      <c r="J165" s="213">
        <f t="shared" si="28"/>
        <v>6</v>
      </c>
      <c r="K165" s="49" t="s">
        <v>48</v>
      </c>
      <c r="L165" s="267"/>
      <c r="M165" s="50">
        <v>5</v>
      </c>
      <c r="N165" s="80"/>
      <c r="O165" s="80"/>
      <c r="P165" s="80"/>
      <c r="Q165" s="80"/>
      <c r="R165" s="80"/>
      <c r="S165" s="146"/>
      <c r="T165" s="146"/>
      <c r="U165" s="146"/>
      <c r="V165" s="146"/>
      <c r="W165" s="146"/>
      <c r="X165" s="146"/>
      <c r="Y165" s="146"/>
      <c r="Z165" s="146"/>
      <c r="AA165" s="146"/>
      <c r="AB165" s="266"/>
      <c r="AC165" s="53">
        <f t="shared" si="17"/>
        <v>5</v>
      </c>
    </row>
    <row r="166" spans="1:29" ht="14" x14ac:dyDescent="0.3">
      <c r="A166" s="81">
        <v>44599</v>
      </c>
      <c r="B166" s="72">
        <v>860</v>
      </c>
      <c r="C166" s="44" t="s">
        <v>43</v>
      </c>
      <c r="D166" s="65" t="s">
        <v>229</v>
      </c>
      <c r="E166" s="141" t="s">
        <v>45</v>
      </c>
      <c r="F166" s="62" t="s">
        <v>244</v>
      </c>
      <c r="G166" s="43" t="s">
        <v>54</v>
      </c>
      <c r="H166" s="66"/>
      <c r="I166" s="198">
        <v>12.8</v>
      </c>
      <c r="J166" s="213">
        <v>12.8</v>
      </c>
      <c r="K166" s="49" t="s">
        <v>48</v>
      </c>
      <c r="L166" s="50"/>
      <c r="M166" s="50">
        <v>12.8</v>
      </c>
      <c r="N166" s="142"/>
      <c r="O166" s="80"/>
      <c r="P166" s="80"/>
      <c r="Q166" s="80"/>
      <c r="R166" s="80"/>
      <c r="S166" s="146"/>
      <c r="T166" s="146"/>
      <c r="U166" s="146"/>
      <c r="V166" s="216"/>
      <c r="W166" s="146"/>
      <c r="X166" s="146"/>
      <c r="Y166" s="146"/>
      <c r="Z166" s="146"/>
      <c r="AA166" s="146"/>
      <c r="AB166" s="266"/>
      <c r="AC166" s="53">
        <f t="shared" ref="AC166:AC191" si="29">SUM(L166:AB166)</f>
        <v>12.8</v>
      </c>
    </row>
    <row r="167" spans="1:29" ht="14" x14ac:dyDescent="0.3">
      <c r="A167" s="81">
        <v>44599</v>
      </c>
      <c r="B167" s="72">
        <v>860</v>
      </c>
      <c r="C167" s="44" t="s">
        <v>43</v>
      </c>
      <c r="D167" s="65" t="s">
        <v>229</v>
      </c>
      <c r="E167" s="141" t="s">
        <v>45</v>
      </c>
      <c r="F167" s="62" t="s">
        <v>245</v>
      </c>
      <c r="G167" s="218" t="s">
        <v>58</v>
      </c>
      <c r="H167" s="77"/>
      <c r="I167" s="271">
        <v>7.92</v>
      </c>
      <c r="J167" s="91">
        <f t="shared" si="28"/>
        <v>7.92</v>
      </c>
      <c r="K167" s="205" t="s">
        <v>48</v>
      </c>
      <c r="L167" s="268"/>
      <c r="M167" s="268">
        <v>7.92</v>
      </c>
      <c r="N167" s="268"/>
      <c r="O167" s="272"/>
      <c r="P167" s="80"/>
      <c r="Q167" s="80"/>
      <c r="R167" s="80"/>
      <c r="S167" s="146"/>
      <c r="T167" s="146"/>
      <c r="U167" s="146"/>
      <c r="V167" s="146"/>
      <c r="W167" s="146"/>
      <c r="X167" s="146"/>
      <c r="Y167" s="146"/>
      <c r="Z167" s="146"/>
      <c r="AA167" s="146"/>
      <c r="AB167" s="266"/>
      <c r="AC167" s="53">
        <f t="shared" si="29"/>
        <v>7.92</v>
      </c>
    </row>
    <row r="168" spans="1:29" ht="14" x14ac:dyDescent="0.3">
      <c r="A168" s="81">
        <v>44599</v>
      </c>
      <c r="B168" s="72">
        <v>860</v>
      </c>
      <c r="C168" s="44" t="s">
        <v>43</v>
      </c>
      <c r="D168" s="65" t="s">
        <v>229</v>
      </c>
      <c r="E168" s="141" t="s">
        <v>45</v>
      </c>
      <c r="F168" s="62" t="s">
        <v>246</v>
      </c>
      <c r="G168" s="221" t="s">
        <v>56</v>
      </c>
      <c r="H168" s="66"/>
      <c r="I168" s="155">
        <v>9.49</v>
      </c>
      <c r="J168" s="91">
        <f t="shared" si="28"/>
        <v>9.49</v>
      </c>
      <c r="K168" s="79" t="s">
        <v>48</v>
      </c>
      <c r="L168" s="80"/>
      <c r="M168" s="80">
        <v>9.49</v>
      </c>
      <c r="N168" s="80"/>
      <c r="O168" s="80"/>
      <c r="P168" s="80"/>
      <c r="Q168" s="80"/>
      <c r="R168" s="80"/>
      <c r="S168" s="146"/>
      <c r="T168" s="146"/>
      <c r="U168" s="146"/>
      <c r="V168" s="146"/>
      <c r="W168" s="146"/>
      <c r="X168" s="146"/>
      <c r="Y168" s="146"/>
      <c r="Z168" s="146"/>
      <c r="AA168" s="146"/>
      <c r="AB168" s="266"/>
      <c r="AC168" s="53">
        <f t="shared" si="29"/>
        <v>9.49</v>
      </c>
    </row>
    <row r="169" spans="1:29" ht="14" x14ac:dyDescent="0.3">
      <c r="A169" s="273">
        <v>44599</v>
      </c>
      <c r="B169" s="72">
        <v>861</v>
      </c>
      <c r="C169" s="44" t="s">
        <v>43</v>
      </c>
      <c r="D169" s="65" t="s">
        <v>229</v>
      </c>
      <c r="E169" s="141" t="s">
        <v>247</v>
      </c>
      <c r="F169" s="141" t="s">
        <v>248</v>
      </c>
      <c r="G169" s="152" t="s">
        <v>50</v>
      </c>
      <c r="H169" s="66"/>
      <c r="I169" s="155">
        <v>192</v>
      </c>
      <c r="J169" s="91">
        <f t="shared" si="28"/>
        <v>192</v>
      </c>
      <c r="K169" s="156" t="s">
        <v>48</v>
      </c>
      <c r="L169" s="69"/>
      <c r="M169" s="69">
        <v>192</v>
      </c>
      <c r="N169" s="69"/>
      <c r="O169" s="216"/>
      <c r="P169" s="215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7"/>
      <c r="AC169" s="53">
        <f t="shared" si="29"/>
        <v>192</v>
      </c>
    </row>
    <row r="170" spans="1:29" ht="14" x14ac:dyDescent="0.3">
      <c r="A170" s="81">
        <v>44599</v>
      </c>
      <c r="B170" s="72">
        <v>862</v>
      </c>
      <c r="C170" s="44" t="s">
        <v>86</v>
      </c>
      <c r="D170" s="65" t="s">
        <v>229</v>
      </c>
      <c r="E170" s="141" t="s">
        <v>151</v>
      </c>
      <c r="F170" s="82" t="s">
        <v>249</v>
      </c>
      <c r="G170" s="49" t="s">
        <v>89</v>
      </c>
      <c r="H170" s="46">
        <v>1060.76</v>
      </c>
      <c r="I170" s="145">
        <v>6364.58</v>
      </c>
      <c r="J170" s="274">
        <f t="shared" si="28"/>
        <v>6364.58</v>
      </c>
      <c r="K170" s="93" t="s">
        <v>48</v>
      </c>
      <c r="L170" s="59"/>
      <c r="M170" s="59"/>
      <c r="N170" s="59"/>
      <c r="O170" s="69"/>
      <c r="P170" s="80"/>
      <c r="Q170" s="80"/>
      <c r="R170" s="80"/>
      <c r="S170" s="146"/>
      <c r="T170" s="146">
        <v>5303.82</v>
      </c>
      <c r="U170" s="146"/>
      <c r="V170" s="146"/>
      <c r="W170" s="146"/>
      <c r="X170" s="146"/>
      <c r="Y170" s="146"/>
      <c r="Z170" s="146"/>
      <c r="AA170" s="146"/>
      <c r="AB170" s="266"/>
      <c r="AC170" s="53">
        <f t="shared" si="29"/>
        <v>5303.82</v>
      </c>
    </row>
    <row r="171" spans="1:29" ht="14" x14ac:dyDescent="0.3">
      <c r="A171" s="81">
        <v>44599</v>
      </c>
      <c r="B171" s="72">
        <v>863</v>
      </c>
      <c r="C171" s="44" t="s">
        <v>43</v>
      </c>
      <c r="D171" s="65" t="s">
        <v>229</v>
      </c>
      <c r="E171" s="141" t="s">
        <v>148</v>
      </c>
      <c r="F171" s="141" t="s">
        <v>224</v>
      </c>
      <c r="G171" s="72" t="s">
        <v>69</v>
      </c>
      <c r="H171" s="66">
        <v>17.059999999999999</v>
      </c>
      <c r="I171" s="220">
        <v>102.34</v>
      </c>
      <c r="J171" s="91">
        <f t="shared" si="28"/>
        <v>102.34</v>
      </c>
      <c r="K171" s="79" t="s">
        <v>48</v>
      </c>
      <c r="L171" s="80"/>
      <c r="M171" s="80"/>
      <c r="N171" s="80"/>
      <c r="O171" s="80">
        <v>85.28</v>
      </c>
      <c r="P171" s="80"/>
      <c r="Q171" s="80"/>
      <c r="R171" s="80"/>
      <c r="S171" s="146"/>
      <c r="T171" s="146"/>
      <c r="U171" s="146"/>
      <c r="V171" s="146"/>
      <c r="W171" s="146"/>
      <c r="X171" s="146"/>
      <c r="Y171" s="146"/>
      <c r="Z171" s="146"/>
      <c r="AA171" s="146"/>
      <c r="AB171" s="266"/>
      <c r="AC171" s="53">
        <f t="shared" si="29"/>
        <v>85.28</v>
      </c>
    </row>
    <row r="172" spans="1:29" ht="14" x14ac:dyDescent="0.3">
      <c r="A172" s="81">
        <v>44599</v>
      </c>
      <c r="B172" s="72">
        <v>864</v>
      </c>
      <c r="C172" s="44" t="s">
        <v>43</v>
      </c>
      <c r="D172" s="65" t="s">
        <v>229</v>
      </c>
      <c r="E172" s="141" t="s">
        <v>93</v>
      </c>
      <c r="F172" s="141" t="s">
        <v>150</v>
      </c>
      <c r="G172" s="72" t="s">
        <v>95</v>
      </c>
      <c r="H172" s="66">
        <v>35.33</v>
      </c>
      <c r="I172" s="220">
        <v>212</v>
      </c>
      <c r="J172" s="91">
        <f t="shared" si="28"/>
        <v>212</v>
      </c>
      <c r="K172" s="79" t="s">
        <v>48</v>
      </c>
      <c r="L172" s="80"/>
      <c r="M172" s="80"/>
      <c r="N172" s="80">
        <v>176.67</v>
      </c>
      <c r="O172" s="80"/>
      <c r="P172" s="80"/>
      <c r="Q172" s="80"/>
      <c r="R172" s="80"/>
      <c r="S172" s="146"/>
      <c r="T172" s="146"/>
      <c r="U172" s="146"/>
      <c r="V172" s="146"/>
      <c r="W172" s="146"/>
      <c r="X172" s="146"/>
      <c r="Y172" s="146"/>
      <c r="Z172" s="146"/>
      <c r="AA172" s="146"/>
      <c r="AB172" s="266"/>
      <c r="AC172" s="53">
        <f t="shared" si="29"/>
        <v>176.67</v>
      </c>
    </row>
    <row r="173" spans="1:29" ht="14" x14ac:dyDescent="0.3">
      <c r="A173" s="81">
        <v>44627</v>
      </c>
      <c r="B173" s="72">
        <v>865</v>
      </c>
      <c r="C173" s="44" t="s">
        <v>43</v>
      </c>
      <c r="D173" s="65" t="s">
        <v>229</v>
      </c>
      <c r="E173" s="275" t="s">
        <v>45</v>
      </c>
      <c r="F173" s="82" t="s">
        <v>250</v>
      </c>
      <c r="G173" s="43" t="s">
        <v>47</v>
      </c>
      <c r="H173" s="66"/>
      <c r="I173" s="198">
        <v>766.78</v>
      </c>
      <c r="J173" s="213">
        <f t="shared" si="28"/>
        <v>766.78</v>
      </c>
      <c r="K173" s="75" t="s">
        <v>48</v>
      </c>
      <c r="L173" s="265">
        <v>766.78</v>
      </c>
      <c r="M173" s="146"/>
      <c r="N173" s="80"/>
      <c r="O173" s="268"/>
      <c r="P173" s="276"/>
      <c r="Q173" s="80"/>
      <c r="R173" s="80"/>
      <c r="S173" s="146"/>
      <c r="T173" s="146"/>
      <c r="U173" s="146"/>
      <c r="V173" s="146"/>
      <c r="W173" s="146"/>
      <c r="X173" s="146"/>
      <c r="Y173" s="146"/>
      <c r="Z173" s="146"/>
      <c r="AA173" s="146"/>
      <c r="AB173" s="266"/>
      <c r="AC173" s="53">
        <f t="shared" si="29"/>
        <v>766.78</v>
      </c>
    </row>
    <row r="174" spans="1:29" ht="14" x14ac:dyDescent="0.3">
      <c r="A174" s="81">
        <v>44627</v>
      </c>
      <c r="B174" s="72">
        <v>865</v>
      </c>
      <c r="C174" s="44" t="s">
        <v>43</v>
      </c>
      <c r="D174" s="65" t="s">
        <v>229</v>
      </c>
      <c r="E174" s="275" t="s">
        <v>45</v>
      </c>
      <c r="F174" s="55" t="s">
        <v>251</v>
      </c>
      <c r="G174" s="43" t="s">
        <v>52</v>
      </c>
      <c r="H174" s="46">
        <v>1.05</v>
      </c>
      <c r="I174" s="198">
        <v>6.3</v>
      </c>
      <c r="J174" s="213">
        <f t="shared" si="28"/>
        <v>6.3</v>
      </c>
      <c r="K174" s="49" t="s">
        <v>48</v>
      </c>
      <c r="L174" s="267"/>
      <c r="M174" s="50">
        <v>5.25</v>
      </c>
      <c r="N174" s="80"/>
      <c r="O174" s="268"/>
      <c r="P174" s="142"/>
      <c r="Q174" s="80"/>
      <c r="R174" s="80"/>
      <c r="S174" s="146"/>
      <c r="T174" s="146"/>
      <c r="U174" s="146"/>
      <c r="V174" s="146"/>
      <c r="W174" s="146"/>
      <c r="X174" s="146"/>
      <c r="Y174" s="146"/>
      <c r="Z174" s="146"/>
      <c r="AA174" s="146"/>
      <c r="AB174" s="266"/>
      <c r="AC174" s="53">
        <f t="shared" si="29"/>
        <v>5.25</v>
      </c>
    </row>
    <row r="175" spans="1:29" ht="14" x14ac:dyDescent="0.3">
      <c r="A175" s="81">
        <v>44627</v>
      </c>
      <c r="B175" s="72">
        <v>865</v>
      </c>
      <c r="C175" s="44" t="s">
        <v>43</v>
      </c>
      <c r="D175" s="65" t="s">
        <v>229</v>
      </c>
      <c r="E175" s="275" t="s">
        <v>45</v>
      </c>
      <c r="F175" s="62" t="s">
        <v>252</v>
      </c>
      <c r="G175" s="43" t="s">
        <v>54</v>
      </c>
      <c r="H175" s="66"/>
      <c r="I175" s="198">
        <v>12.8</v>
      </c>
      <c r="J175" s="213">
        <v>12.8</v>
      </c>
      <c r="K175" s="49" t="s">
        <v>48</v>
      </c>
      <c r="L175" s="50"/>
      <c r="M175" s="50">
        <v>12.8</v>
      </c>
      <c r="N175" s="142"/>
      <c r="O175" s="268"/>
      <c r="P175" s="142"/>
      <c r="Q175" s="80"/>
      <c r="R175" s="80"/>
      <c r="S175" s="146"/>
      <c r="T175" s="146"/>
      <c r="U175" s="146"/>
      <c r="V175" s="146"/>
      <c r="W175" s="146"/>
      <c r="X175" s="146"/>
      <c r="Y175" s="146"/>
      <c r="Z175" s="146"/>
      <c r="AA175" s="146"/>
      <c r="AB175" s="266"/>
      <c r="AC175" s="53">
        <f t="shared" si="29"/>
        <v>12.8</v>
      </c>
    </row>
    <row r="176" spans="1:29" ht="12" customHeight="1" x14ac:dyDescent="0.3">
      <c r="A176" s="81">
        <v>44627</v>
      </c>
      <c r="B176" s="72">
        <v>865</v>
      </c>
      <c r="C176" s="44" t="s">
        <v>43</v>
      </c>
      <c r="D176" s="65" t="s">
        <v>229</v>
      </c>
      <c r="E176" s="275" t="s">
        <v>45</v>
      </c>
      <c r="F176" s="82" t="s">
        <v>253</v>
      </c>
      <c r="G176" s="225" t="s">
        <v>60</v>
      </c>
      <c r="H176" s="66"/>
      <c r="I176" s="220">
        <v>78</v>
      </c>
      <c r="J176" s="91">
        <f t="shared" si="28"/>
        <v>78</v>
      </c>
      <c r="K176" s="205" t="s">
        <v>48</v>
      </c>
      <c r="L176" s="268"/>
      <c r="M176" s="268"/>
      <c r="N176" s="268"/>
      <c r="O176" s="268"/>
      <c r="P176" s="80"/>
      <c r="Q176" s="80"/>
      <c r="R176" s="80"/>
      <c r="S176" s="146"/>
      <c r="T176" s="146"/>
      <c r="U176" s="146">
        <v>78</v>
      </c>
      <c r="V176" s="146"/>
      <c r="W176" s="146"/>
      <c r="X176" s="146"/>
      <c r="Y176" s="146"/>
      <c r="Z176" s="146"/>
      <c r="AA176" s="146"/>
      <c r="AB176" s="266"/>
      <c r="AC176" s="53">
        <f t="shared" si="29"/>
        <v>78</v>
      </c>
    </row>
    <row r="177" spans="1:29" ht="14" x14ac:dyDescent="0.3">
      <c r="A177" s="81">
        <v>44627</v>
      </c>
      <c r="B177" s="72">
        <v>865</v>
      </c>
      <c r="C177" s="44" t="s">
        <v>43</v>
      </c>
      <c r="D177" s="65" t="s">
        <v>229</v>
      </c>
      <c r="E177" s="275" t="s">
        <v>45</v>
      </c>
      <c r="F177" s="277" t="s">
        <v>254</v>
      </c>
      <c r="G177" s="278" t="s">
        <v>97</v>
      </c>
      <c r="H177" s="66">
        <v>2.33</v>
      </c>
      <c r="I177" s="220">
        <v>13.95</v>
      </c>
      <c r="J177" s="91">
        <f t="shared" si="28"/>
        <v>13.95</v>
      </c>
      <c r="K177" s="79" t="s">
        <v>48</v>
      </c>
      <c r="L177" s="80"/>
      <c r="M177" s="80"/>
      <c r="N177" s="80">
        <v>11.62</v>
      </c>
      <c r="O177" s="80"/>
      <c r="P177" s="80"/>
      <c r="Q177" s="113"/>
      <c r="R177" s="113"/>
      <c r="S177" s="279"/>
      <c r="T177" s="279"/>
      <c r="U177" s="279"/>
      <c r="V177" s="279"/>
      <c r="W177" s="279"/>
      <c r="X177" s="279"/>
      <c r="Y177" s="279"/>
      <c r="Z177" s="279"/>
      <c r="AA177" s="279"/>
      <c r="AB177" s="280"/>
      <c r="AC177" s="53">
        <f t="shared" si="29"/>
        <v>11.62</v>
      </c>
    </row>
    <row r="178" spans="1:29" ht="14" x14ac:dyDescent="0.3">
      <c r="A178" s="157">
        <v>44627</v>
      </c>
      <c r="B178" s="103">
        <v>865</v>
      </c>
      <c r="C178" s="99" t="s">
        <v>86</v>
      </c>
      <c r="D178" s="65" t="s">
        <v>229</v>
      </c>
      <c r="E178" s="275" t="s">
        <v>45</v>
      </c>
      <c r="F178" s="100" t="s">
        <v>255</v>
      </c>
      <c r="G178" s="221" t="s">
        <v>97</v>
      </c>
      <c r="H178" s="66">
        <v>79</v>
      </c>
      <c r="I178" s="155">
        <v>474</v>
      </c>
      <c r="J178" s="281">
        <f t="shared" si="28"/>
        <v>474</v>
      </c>
      <c r="K178" s="111" t="s">
        <v>48</v>
      </c>
      <c r="L178" s="142"/>
      <c r="M178" s="142"/>
      <c r="N178" s="142">
        <v>395</v>
      </c>
      <c r="O178" s="80"/>
      <c r="P178" s="113"/>
      <c r="Q178" s="113"/>
      <c r="R178" s="113"/>
      <c r="S178" s="279"/>
      <c r="T178" s="279"/>
      <c r="U178" s="279"/>
      <c r="V178" s="279"/>
      <c r="W178" s="279"/>
      <c r="X178" s="279"/>
      <c r="Y178" s="279"/>
      <c r="Z178" s="279"/>
      <c r="AA178" s="279"/>
      <c r="AB178" s="280"/>
      <c r="AC178" s="53">
        <f t="shared" si="29"/>
        <v>395</v>
      </c>
    </row>
    <row r="179" spans="1:29" ht="14" x14ac:dyDescent="0.3">
      <c r="A179" s="157">
        <v>44600</v>
      </c>
      <c r="B179" s="103" t="s">
        <v>73</v>
      </c>
      <c r="C179" s="99" t="s">
        <v>43</v>
      </c>
      <c r="D179" s="65" t="s">
        <v>229</v>
      </c>
      <c r="E179" s="100" t="s">
        <v>256</v>
      </c>
      <c r="F179" s="141" t="s">
        <v>257</v>
      </c>
      <c r="G179" s="72" t="s">
        <v>76</v>
      </c>
      <c r="H179" s="66">
        <v>1.2</v>
      </c>
      <c r="I179" s="220">
        <v>7.2</v>
      </c>
      <c r="J179" s="281">
        <f t="shared" si="28"/>
        <v>7.2</v>
      </c>
      <c r="K179" s="282" t="s">
        <v>48</v>
      </c>
      <c r="L179" s="268"/>
      <c r="M179" s="268">
        <v>6</v>
      </c>
      <c r="N179" s="268"/>
      <c r="O179" s="80"/>
      <c r="P179" s="80"/>
      <c r="Q179" s="80"/>
      <c r="R179" s="113"/>
      <c r="S179" s="279"/>
      <c r="T179" s="279"/>
      <c r="U179" s="279"/>
      <c r="V179" s="279"/>
      <c r="W179" s="279"/>
      <c r="X179" s="279"/>
      <c r="Y179" s="279"/>
      <c r="Z179" s="279"/>
      <c r="AA179" s="279"/>
      <c r="AB179" s="280"/>
      <c r="AC179" s="53">
        <f t="shared" si="29"/>
        <v>6</v>
      </c>
    </row>
    <row r="180" spans="1:29" ht="14" x14ac:dyDescent="0.3">
      <c r="A180" s="157">
        <v>44627</v>
      </c>
      <c r="B180" s="103">
        <v>866</v>
      </c>
      <c r="C180" s="99" t="s">
        <v>43</v>
      </c>
      <c r="D180" s="65" t="s">
        <v>229</v>
      </c>
      <c r="E180" s="100" t="s">
        <v>93</v>
      </c>
      <c r="F180" s="100" t="s">
        <v>150</v>
      </c>
      <c r="G180" s="2" t="s">
        <v>95</v>
      </c>
      <c r="H180" s="109">
        <v>35.33</v>
      </c>
      <c r="I180" s="110">
        <v>212</v>
      </c>
      <c r="J180" s="281">
        <f t="shared" si="28"/>
        <v>212</v>
      </c>
      <c r="K180" s="111" t="s">
        <v>48</v>
      </c>
      <c r="L180" s="112"/>
      <c r="M180" s="112"/>
      <c r="N180" s="112">
        <v>176.67</v>
      </c>
      <c r="O180" s="113"/>
      <c r="P180" s="114"/>
      <c r="Q180" s="113"/>
      <c r="R180" s="113"/>
      <c r="S180" s="279"/>
      <c r="T180" s="279"/>
      <c r="U180" s="279"/>
      <c r="V180" s="279"/>
      <c r="W180" s="279"/>
      <c r="X180" s="279"/>
      <c r="Y180" s="279"/>
      <c r="Z180" s="279"/>
      <c r="AA180" s="279"/>
      <c r="AB180" s="280"/>
      <c r="AC180" s="53">
        <f t="shared" si="29"/>
        <v>176.67</v>
      </c>
    </row>
    <row r="181" spans="1:29" ht="14" x14ac:dyDescent="0.3">
      <c r="A181" s="157">
        <v>44627</v>
      </c>
      <c r="B181" s="103">
        <v>867</v>
      </c>
      <c r="C181" s="99" t="s">
        <v>43</v>
      </c>
      <c r="D181" s="65" t="s">
        <v>229</v>
      </c>
      <c r="E181" s="100" t="s">
        <v>148</v>
      </c>
      <c r="F181" s="100" t="s">
        <v>224</v>
      </c>
      <c r="G181" s="2" t="s">
        <v>69</v>
      </c>
      <c r="H181" s="222">
        <v>20.079999999999998</v>
      </c>
      <c r="I181" s="102">
        <v>120.46</v>
      </c>
      <c r="J181" s="281">
        <f t="shared" si="28"/>
        <v>120.46</v>
      </c>
      <c r="K181" s="111" t="s">
        <v>48</v>
      </c>
      <c r="L181" s="112"/>
      <c r="M181" s="112"/>
      <c r="N181" s="112"/>
      <c r="O181" s="279">
        <v>100.38</v>
      </c>
      <c r="P181" s="279"/>
      <c r="Q181" s="279"/>
      <c r="R181" s="279"/>
      <c r="S181" s="279"/>
      <c r="T181" s="279"/>
      <c r="U181" s="279"/>
      <c r="V181" s="279"/>
      <c r="W181" s="279"/>
      <c r="X181" s="279"/>
      <c r="Y181" s="279"/>
      <c r="Z181" s="279"/>
      <c r="AA181" s="279"/>
      <c r="AB181" s="280"/>
      <c r="AC181" s="53">
        <f t="shared" si="29"/>
        <v>100.38</v>
      </c>
    </row>
    <row r="182" spans="1:29" ht="14" x14ac:dyDescent="0.3">
      <c r="A182" s="157">
        <v>44627</v>
      </c>
      <c r="B182" s="103">
        <v>868</v>
      </c>
      <c r="C182" s="99" t="s">
        <v>190</v>
      </c>
      <c r="D182" s="65" t="s">
        <v>229</v>
      </c>
      <c r="E182" s="100" t="s">
        <v>258</v>
      </c>
      <c r="F182" s="100" t="s">
        <v>192</v>
      </c>
      <c r="G182" s="2" t="s">
        <v>193</v>
      </c>
      <c r="H182" s="222"/>
      <c r="I182" s="102">
        <v>50</v>
      </c>
      <c r="J182" s="281">
        <f t="shared" si="28"/>
        <v>50</v>
      </c>
      <c r="K182" s="111" t="s">
        <v>48</v>
      </c>
      <c r="L182" s="112"/>
      <c r="M182" s="112"/>
      <c r="N182" s="112"/>
      <c r="O182" s="279"/>
      <c r="P182" s="279"/>
      <c r="Q182" s="279">
        <v>50</v>
      </c>
      <c r="R182" s="279"/>
      <c r="S182" s="279"/>
      <c r="T182" s="279"/>
      <c r="U182" s="279"/>
      <c r="V182" s="279"/>
      <c r="W182" s="279"/>
      <c r="X182" s="279"/>
      <c r="Y182" s="279"/>
      <c r="Z182" s="279"/>
      <c r="AA182" s="279"/>
      <c r="AB182" s="280"/>
      <c r="AC182" s="53">
        <f t="shared" si="29"/>
        <v>50</v>
      </c>
    </row>
    <row r="183" spans="1:29" ht="14" x14ac:dyDescent="0.3">
      <c r="A183" s="157"/>
      <c r="B183" s="103"/>
      <c r="C183" s="99"/>
      <c r="D183" s="65"/>
      <c r="E183" s="141"/>
      <c r="F183" s="141"/>
      <c r="G183" s="72"/>
      <c r="H183" s="77"/>
      <c r="I183" s="208"/>
      <c r="J183" s="281">
        <f t="shared" si="28"/>
        <v>0</v>
      </c>
      <c r="K183" s="283"/>
      <c r="L183" s="69"/>
      <c r="M183" s="69"/>
      <c r="N183" s="69"/>
      <c r="O183" s="279"/>
      <c r="P183" s="279"/>
      <c r="Q183" s="279"/>
      <c r="R183" s="279"/>
      <c r="S183" s="279"/>
      <c r="T183" s="279"/>
      <c r="U183" s="279"/>
      <c r="V183" s="279"/>
      <c r="W183" s="279"/>
      <c r="X183" s="279"/>
      <c r="Y183" s="279"/>
      <c r="Z183" s="279"/>
      <c r="AA183" s="279"/>
      <c r="AB183" s="280"/>
      <c r="AC183" s="53">
        <f t="shared" si="29"/>
        <v>0</v>
      </c>
    </row>
    <row r="184" spans="1:29" ht="14" x14ac:dyDescent="0.3">
      <c r="A184" s="157"/>
      <c r="B184" s="103"/>
      <c r="C184" s="99"/>
      <c r="D184" s="65"/>
      <c r="E184" s="141"/>
      <c r="F184" s="141"/>
      <c r="G184" s="141"/>
      <c r="H184" s="66"/>
      <c r="I184" s="148"/>
      <c r="J184" s="281">
        <f t="shared" si="28"/>
        <v>0</v>
      </c>
      <c r="K184" s="111"/>
      <c r="L184" s="142"/>
      <c r="M184" s="142"/>
      <c r="N184" s="142"/>
      <c r="O184" s="279"/>
      <c r="P184" s="279"/>
      <c r="Q184" s="279"/>
      <c r="R184" s="279"/>
      <c r="S184" s="279"/>
      <c r="T184" s="279"/>
      <c r="U184" s="279"/>
      <c r="V184" s="279"/>
      <c r="W184" s="279"/>
      <c r="X184" s="279"/>
      <c r="Y184" s="279"/>
      <c r="Z184" s="279"/>
      <c r="AA184" s="279"/>
      <c r="AB184" s="280"/>
      <c r="AC184" s="53">
        <f t="shared" si="29"/>
        <v>0</v>
      </c>
    </row>
    <row r="185" spans="1:29" ht="14" customHeight="1" x14ac:dyDescent="0.3">
      <c r="A185" s="157"/>
      <c r="B185" s="103"/>
      <c r="C185" s="99"/>
      <c r="D185" s="65"/>
      <c r="E185" s="100"/>
      <c r="F185" s="100"/>
      <c r="G185" s="2"/>
      <c r="H185" s="222"/>
      <c r="I185" s="102"/>
      <c r="J185" s="281">
        <f t="shared" si="28"/>
        <v>0</v>
      </c>
      <c r="K185" s="111"/>
      <c r="L185" s="112"/>
      <c r="M185" s="112"/>
      <c r="N185" s="112"/>
      <c r="O185" s="279"/>
      <c r="P185" s="279"/>
      <c r="Q185" s="279"/>
      <c r="R185" s="279"/>
      <c r="S185" s="279"/>
      <c r="T185" s="279"/>
      <c r="U185" s="279"/>
      <c r="V185" s="279"/>
      <c r="W185" s="279"/>
      <c r="X185" s="279"/>
      <c r="Y185" s="279"/>
      <c r="Z185" s="279"/>
      <c r="AA185" s="279"/>
      <c r="AB185" s="280"/>
      <c r="AC185" s="53">
        <f t="shared" si="29"/>
        <v>0</v>
      </c>
    </row>
    <row r="186" spans="1:29" ht="16" customHeight="1" thickBot="1" x14ac:dyDescent="0.35">
      <c r="A186" s="117"/>
      <c r="B186" s="118"/>
      <c r="C186" s="119"/>
      <c r="D186" s="117"/>
      <c r="E186" s="117"/>
      <c r="F186" s="117" t="s">
        <v>259</v>
      </c>
      <c r="G186" s="117"/>
      <c r="H186" s="284">
        <f>SUM(H153:H184)</f>
        <v>1887.5199999999995</v>
      </c>
      <c r="I186" s="284">
        <f t="shared" ref="I186:J186" si="30">SUM(I153:I184)</f>
        <v>14048.53</v>
      </c>
      <c r="J186" s="284">
        <f t="shared" si="30"/>
        <v>14048.53</v>
      </c>
      <c r="K186" s="233"/>
      <c r="L186" s="285">
        <f t="shared" ref="L186:AA186" si="31">+SUM(L153:L185)</f>
        <v>2305.5</v>
      </c>
      <c r="M186" s="285">
        <f t="shared" si="31"/>
        <v>621.6</v>
      </c>
      <c r="N186" s="285">
        <f t="shared" si="31"/>
        <v>936.63</v>
      </c>
      <c r="O186" s="285">
        <f t="shared" si="31"/>
        <v>290.45999999999998</v>
      </c>
      <c r="P186" s="285">
        <f t="shared" si="31"/>
        <v>0</v>
      </c>
      <c r="Q186" s="285">
        <f t="shared" si="31"/>
        <v>50</v>
      </c>
      <c r="R186" s="285">
        <f t="shared" si="31"/>
        <v>2575</v>
      </c>
      <c r="S186" s="285">
        <f t="shared" si="31"/>
        <v>0</v>
      </c>
      <c r="T186" s="285">
        <f t="shared" si="31"/>
        <v>5303.82</v>
      </c>
      <c r="U186" s="285">
        <f t="shared" si="31"/>
        <v>78</v>
      </c>
      <c r="V186" s="285">
        <f t="shared" si="31"/>
        <v>0</v>
      </c>
      <c r="W186" s="285">
        <f t="shared" si="31"/>
        <v>0</v>
      </c>
      <c r="X186" s="285">
        <f t="shared" si="31"/>
        <v>0</v>
      </c>
      <c r="Y186" s="285">
        <f t="shared" si="31"/>
        <v>0</v>
      </c>
      <c r="Z186" s="285">
        <f t="shared" si="31"/>
        <v>0</v>
      </c>
      <c r="AA186" s="285">
        <f t="shared" si="31"/>
        <v>0</v>
      </c>
      <c r="AB186" s="285">
        <f>+SUM(AB153:AB185)</f>
        <v>0</v>
      </c>
      <c r="AC186" s="53">
        <f t="shared" si="29"/>
        <v>12161.009999999998</v>
      </c>
    </row>
    <row r="187" spans="1:29" ht="14.5" thickBot="1" x14ac:dyDescent="0.35">
      <c r="A187" s="242"/>
      <c r="B187" s="243"/>
      <c r="C187" s="244"/>
      <c r="D187" s="242"/>
      <c r="E187" s="242"/>
      <c r="F187" s="242" t="s">
        <v>228</v>
      </c>
      <c r="G187" s="242"/>
      <c r="H187" s="245">
        <f t="shared" ref="H187:AB187" si="32">SUM(H186+H146+H85+H47)</f>
        <v>18900.099999999999</v>
      </c>
      <c r="I187" s="245">
        <f t="shared" si="32"/>
        <v>130790.14</v>
      </c>
      <c r="J187" s="245">
        <f t="shared" si="32"/>
        <v>130790.14</v>
      </c>
      <c r="K187" s="286">
        <f t="shared" si="32"/>
        <v>0</v>
      </c>
      <c r="L187" s="245">
        <f t="shared" si="32"/>
        <v>10971.21</v>
      </c>
      <c r="M187" s="245">
        <f t="shared" si="32"/>
        <v>3651.7200000000003</v>
      </c>
      <c r="N187" s="245">
        <f t="shared" si="32"/>
        <v>4181.54</v>
      </c>
      <c r="O187" s="245">
        <f t="shared" si="32"/>
        <v>1217.3699999999999</v>
      </c>
      <c r="P187" s="245">
        <f t="shared" si="32"/>
        <v>588.24</v>
      </c>
      <c r="Q187" s="245">
        <f t="shared" si="32"/>
        <v>2200</v>
      </c>
      <c r="R187" s="245">
        <f t="shared" si="32"/>
        <v>3308.62</v>
      </c>
      <c r="S187" s="245">
        <f t="shared" si="32"/>
        <v>214.71999999999997</v>
      </c>
      <c r="T187" s="245">
        <f t="shared" si="32"/>
        <v>80283.97</v>
      </c>
      <c r="U187" s="245">
        <f t="shared" si="32"/>
        <v>5272.65</v>
      </c>
      <c r="V187" s="245">
        <f t="shared" si="32"/>
        <v>0</v>
      </c>
      <c r="W187" s="245">
        <f t="shared" si="32"/>
        <v>0</v>
      </c>
      <c r="X187" s="245">
        <f t="shared" si="32"/>
        <v>0</v>
      </c>
      <c r="Y187" s="245">
        <f t="shared" si="32"/>
        <v>0</v>
      </c>
      <c r="Z187" s="245">
        <f t="shared" si="32"/>
        <v>0</v>
      </c>
      <c r="AA187" s="245">
        <f t="shared" si="32"/>
        <v>0</v>
      </c>
      <c r="AB187" s="246">
        <f t="shared" si="32"/>
        <v>0</v>
      </c>
      <c r="AC187" s="53">
        <f t="shared" si="29"/>
        <v>111890.04</v>
      </c>
    </row>
    <row r="188" spans="1:29" ht="14.5" thickTop="1" x14ac:dyDescent="0.3">
      <c r="A188" s="21" t="s">
        <v>18</v>
      </c>
      <c r="B188" s="21" t="s">
        <v>19</v>
      </c>
      <c r="C188" s="22" t="s">
        <v>119</v>
      </c>
      <c r="D188" s="21" t="s">
        <v>4</v>
      </c>
      <c r="E188" s="21" t="s">
        <v>22</v>
      </c>
      <c r="F188" s="21" t="s">
        <v>23</v>
      </c>
      <c r="G188" s="21"/>
      <c r="H188" s="23" t="s">
        <v>4</v>
      </c>
      <c r="I188" s="287" t="s">
        <v>26</v>
      </c>
      <c r="J188" s="288"/>
      <c r="K188" s="289" t="s">
        <v>28</v>
      </c>
      <c r="L188" s="21" t="str">
        <f t="shared" ref="L188:AB188" si="33">L7</f>
        <v>STAFF COSTS</v>
      </c>
      <c r="M188" s="21" t="str">
        <f t="shared" si="33"/>
        <v>ADMINISTRATION COSTS</v>
      </c>
      <c r="N188" s="21" t="str">
        <f t="shared" si="33"/>
        <v>PARK &amp; OPEN SPACES</v>
      </c>
      <c r="O188" s="21" t="str">
        <f t="shared" si="33"/>
        <v>CHURCHYARD</v>
      </c>
      <c r="P188" s="21" t="str">
        <f t="shared" si="33"/>
        <v>SUBSCRIPTIONS</v>
      </c>
      <c r="Q188" s="21" t="str">
        <f t="shared" si="33"/>
        <v xml:space="preserve">GRANTS &amp; DONATIONS </v>
      </c>
      <c r="R188" s="21" t="str">
        <f t="shared" si="33"/>
        <v>OTHER</v>
      </c>
      <c r="S188" s="21" t="str">
        <f t="shared" si="33"/>
        <v>CONTINGENCY</v>
      </c>
      <c r="T188" s="21" t="str">
        <f t="shared" si="33"/>
        <v>EARMARKED RESERVE FUNDS</v>
      </c>
      <c r="U188" s="21" t="str">
        <f t="shared" si="33"/>
        <v xml:space="preserve">CAPITAL </v>
      </c>
      <c r="V188" s="21">
        <f t="shared" si="33"/>
        <v>0</v>
      </c>
      <c r="W188" s="21">
        <f t="shared" si="33"/>
        <v>0</v>
      </c>
      <c r="X188" s="21">
        <f t="shared" si="33"/>
        <v>0</v>
      </c>
      <c r="Y188" s="21" t="str">
        <f t="shared" si="33"/>
        <v>Cap Project</v>
      </c>
      <c r="Z188" s="21" t="str">
        <f t="shared" si="33"/>
        <v>Cap Project</v>
      </c>
      <c r="AA188" s="21" t="str">
        <f t="shared" si="33"/>
        <v>Cap Project</v>
      </c>
      <c r="AB188" s="130" t="str">
        <f t="shared" si="33"/>
        <v>Other</v>
      </c>
      <c r="AC188" s="53">
        <f t="shared" si="29"/>
        <v>0</v>
      </c>
    </row>
    <row r="189" spans="1:29" ht="14.5" thickBot="1" x14ac:dyDescent="0.35">
      <c r="A189" s="29"/>
      <c r="B189" s="29"/>
      <c r="C189" s="30" t="s">
        <v>32</v>
      </c>
      <c r="D189" s="29" t="s">
        <v>33</v>
      </c>
      <c r="E189" s="29"/>
      <c r="F189" s="29"/>
      <c r="G189" s="29"/>
      <c r="H189" s="31"/>
      <c r="I189" s="290"/>
      <c r="J189" s="291"/>
      <c r="K189" s="292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131"/>
      <c r="AC189" s="53">
        <f t="shared" si="29"/>
        <v>0</v>
      </c>
    </row>
    <row r="190" spans="1:29" ht="14" x14ac:dyDescent="0.3">
      <c r="A190" s="234"/>
      <c r="B190" s="235"/>
      <c r="C190" s="236"/>
      <c r="D190" s="234"/>
      <c r="E190" s="234"/>
      <c r="F190" s="234"/>
      <c r="G190" s="234"/>
      <c r="H190" s="293"/>
      <c r="I190" s="294"/>
      <c r="J190" s="295"/>
      <c r="K190" s="239"/>
      <c r="L190" s="234"/>
      <c r="M190" s="234"/>
      <c r="N190" s="234"/>
      <c r="O190" s="234"/>
      <c r="P190" s="234"/>
      <c r="Q190" s="234"/>
      <c r="R190" s="234"/>
      <c r="S190" s="234"/>
      <c r="T190" s="234"/>
      <c r="U190" s="234"/>
      <c r="V190" s="234"/>
      <c r="W190" s="234"/>
      <c r="X190" s="234"/>
      <c r="Y190" s="234"/>
      <c r="Z190" s="234"/>
      <c r="AA190" s="234"/>
      <c r="AB190" s="296"/>
      <c r="AC190" s="53">
        <f t="shared" si="29"/>
        <v>0</v>
      </c>
    </row>
    <row r="191" spans="1:29" ht="14.5" thickBot="1" x14ac:dyDescent="0.35">
      <c r="A191" s="242"/>
      <c r="B191" s="243"/>
      <c r="C191" s="244"/>
      <c r="D191" s="242"/>
      <c r="E191" s="242"/>
      <c r="F191" s="297" t="s">
        <v>260</v>
      </c>
      <c r="G191" s="297"/>
      <c r="H191" s="298">
        <f>H187</f>
        <v>18900.099999999999</v>
      </c>
      <c r="I191" s="298">
        <f>I187</f>
        <v>130790.14</v>
      </c>
      <c r="J191" s="298">
        <f>J187</f>
        <v>130790.14</v>
      </c>
      <c r="K191" s="299"/>
      <c r="L191" s="300">
        <f t="shared" ref="L191:AB191" si="34">+L148+L186</f>
        <v>10971.21</v>
      </c>
      <c r="M191" s="300">
        <f t="shared" si="34"/>
        <v>3651.7200000000003</v>
      </c>
      <c r="N191" s="300">
        <f t="shared" si="34"/>
        <v>4181.54</v>
      </c>
      <c r="O191" s="300">
        <f t="shared" si="34"/>
        <v>1217.3699999999999</v>
      </c>
      <c r="P191" s="300">
        <f t="shared" si="34"/>
        <v>588.24</v>
      </c>
      <c r="Q191" s="300">
        <f t="shared" si="34"/>
        <v>2200</v>
      </c>
      <c r="R191" s="300">
        <f t="shared" si="34"/>
        <v>3308.62</v>
      </c>
      <c r="S191" s="300">
        <f t="shared" si="34"/>
        <v>214.71999999999997</v>
      </c>
      <c r="T191" s="300">
        <f t="shared" si="34"/>
        <v>80283.97</v>
      </c>
      <c r="U191" s="300">
        <f t="shared" si="34"/>
        <v>5272.65</v>
      </c>
      <c r="V191" s="300">
        <f t="shared" si="34"/>
        <v>0</v>
      </c>
      <c r="W191" s="300">
        <f t="shared" si="34"/>
        <v>0</v>
      </c>
      <c r="X191" s="300">
        <f t="shared" si="34"/>
        <v>0</v>
      </c>
      <c r="Y191" s="300">
        <f t="shared" si="34"/>
        <v>0</v>
      </c>
      <c r="Z191" s="300">
        <f t="shared" si="34"/>
        <v>0</v>
      </c>
      <c r="AA191" s="300">
        <f t="shared" si="34"/>
        <v>0</v>
      </c>
      <c r="AB191" s="301">
        <f t="shared" si="34"/>
        <v>0</v>
      </c>
      <c r="AC191" s="53">
        <f t="shared" si="29"/>
        <v>111890.04</v>
      </c>
    </row>
    <row r="192" spans="1:29" ht="13" thickTop="1" x14ac:dyDescent="0.25">
      <c r="A192" s="1"/>
      <c r="B192" s="2"/>
      <c r="C192" s="3"/>
      <c r="D192" s="1"/>
      <c r="E192" s="1"/>
      <c r="F192" s="1"/>
      <c r="G192" s="1"/>
      <c r="H192" s="302"/>
      <c r="I192" s="20"/>
      <c r="J192" s="1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x14ac:dyDescent="0.25">
      <c r="A193" s="1"/>
      <c r="B193" s="2"/>
      <c r="C193" s="3"/>
      <c r="D193" s="1"/>
      <c r="E193" s="1"/>
      <c r="F193" s="1"/>
      <c r="G193" s="1"/>
      <c r="H193" s="20"/>
      <c r="I193" s="20"/>
      <c r="J193" s="1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x14ac:dyDescent="0.25">
      <c r="A194" s="1"/>
      <c r="B194" s="2"/>
      <c r="C194" s="3"/>
      <c r="D194" s="1"/>
      <c r="E194" s="1"/>
      <c r="F194" s="1"/>
      <c r="G194" s="1"/>
      <c r="H194" s="20"/>
      <c r="I194" s="20"/>
      <c r="J194" s="1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</sheetData>
  <autoFilter ref="A9:AC47" xr:uid="{10E6555B-7ED3-4C65-B4B0-6E88419EE3B4}"/>
  <pageMargins left="0.11811023622047245" right="0" top="0.98425196850393704" bottom="0.39370078740157483" header="0.51181102362204722" footer="0"/>
  <pageSetup paperSize="9" scale="84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Budget Vs Actual</vt:lpstr>
      <vt:lpstr>Annual R&amp;P </vt:lpstr>
      <vt:lpstr>Reserves</vt:lpstr>
      <vt:lpstr>Variances</vt:lpstr>
      <vt:lpstr>Bank reconciliation</vt:lpstr>
      <vt:lpstr>Ledger Receipts</vt:lpstr>
      <vt:lpstr>Cash book</vt:lpstr>
      <vt:lpstr>'Annual R&amp;P '!Print_Area</vt:lpstr>
      <vt:lpstr>'Bank reconciliation'!Print_Area</vt:lpstr>
      <vt:lpstr>'Budget Vs Actual'!Print_Area</vt:lpstr>
      <vt:lpstr>'Cash book'!Print_Area</vt:lpstr>
      <vt:lpstr>'Ledger Receipts'!Print_Area</vt:lpstr>
      <vt:lpstr>Reserves!Print_Area</vt:lpstr>
      <vt:lpstr>Variances!Print_Area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Lyndsey Sandison</dc:creator>
  <cp:lastModifiedBy>Lyndsey Sandison</cp:lastModifiedBy>
  <dcterms:created xsi:type="dcterms:W3CDTF">2022-05-05T06:27:57Z</dcterms:created>
  <dcterms:modified xsi:type="dcterms:W3CDTF">2022-05-05T06:30:05Z</dcterms:modified>
</cp:coreProperties>
</file>