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adb46f231b5d81/Parish Council/Audit/2021/"/>
    </mc:Choice>
  </mc:AlternateContent>
  <xr:revisionPtr revIDLastSave="0" documentId="8_{AD0274F0-15E2-4A1B-A94D-FB8F9C2ED00B}" xr6:coauthVersionLast="46" xr6:coauthVersionMax="46" xr10:uidLastSave="{00000000-0000-0000-0000-000000000000}"/>
  <bookViews>
    <workbookView xWindow="-110" yWindow="-110" windowWidth="19420" windowHeight="10420" activeTab="3" xr2:uid="{FE401BB2-4533-4CB2-B1A1-AE6EDB639557}"/>
  </bookViews>
  <sheets>
    <sheet name="Cash book" sheetId="1" r:id="rId1"/>
    <sheet name="Variances" sheetId="3" r:id="rId2"/>
    <sheet name="Bank reconciliation" sheetId="4" r:id="rId3"/>
    <sheet name="Budget Vs Actual" sheetId="5" r:id="rId4"/>
  </sheets>
  <externalReferences>
    <externalReference r:id="rId5"/>
  </externalReferences>
  <definedNames>
    <definedName name="_xlnm._FilterDatabase" localSheetId="0" hidden="1">'Cash book'!$A$9:$AE$43</definedName>
    <definedName name="_xlnm.Print_Area" localSheetId="2">'Bank reconciliation'!$A$1:$I$34</definedName>
    <definedName name="_xlnm.Print_Area" localSheetId="3">'Budget Vs Actual'!$A$1:$O$79</definedName>
    <definedName name="_xlnm.Print_Area" localSheetId="0">'Cash book'!$A$123:$AC$163</definedName>
    <definedName name="_xlnm.Print_Area" localSheetId="1">Variances!$A$1:$M$30</definedName>
    <definedName name="testdata">'[1]Receipts Database'!#REF!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5" l="1"/>
  <c r="B78" i="5"/>
  <c r="B77" i="5"/>
  <c r="B76" i="5"/>
  <c r="B79" i="5" s="1"/>
  <c r="L74" i="5"/>
  <c r="F74" i="5"/>
  <c r="N73" i="5"/>
  <c r="N72" i="5"/>
  <c r="M72" i="5"/>
  <c r="O72" i="5" s="1"/>
  <c r="K72" i="5"/>
  <c r="I72" i="5"/>
  <c r="G72" i="5"/>
  <c r="E72" i="5"/>
  <c r="O68" i="5"/>
  <c r="M68" i="5"/>
  <c r="K67" i="5"/>
  <c r="K69" i="5" s="1"/>
  <c r="I67" i="5"/>
  <c r="I69" i="5" s="1"/>
  <c r="G67" i="5"/>
  <c r="G69" i="5" s="1"/>
  <c r="E67" i="5"/>
  <c r="M67" i="5" s="1"/>
  <c r="M66" i="5"/>
  <c r="O66" i="5" s="1"/>
  <c r="M65" i="5"/>
  <c r="O65" i="5" s="1"/>
  <c r="M64" i="5"/>
  <c r="O64" i="5" s="1"/>
  <c r="K62" i="5"/>
  <c r="I62" i="5"/>
  <c r="G62" i="5"/>
  <c r="E62" i="5"/>
  <c r="M62" i="5" s="1"/>
  <c r="K61" i="5"/>
  <c r="K63" i="5" s="1"/>
  <c r="I61" i="5"/>
  <c r="I63" i="5" s="1"/>
  <c r="I70" i="5" s="1"/>
  <c r="G61" i="5"/>
  <c r="G63" i="5" s="1"/>
  <c r="G70" i="5" s="1"/>
  <c r="E61" i="5"/>
  <c r="M61" i="5" s="1"/>
  <c r="N61" i="5" s="1"/>
  <c r="C61" i="5"/>
  <c r="C63" i="5" s="1"/>
  <c r="J58" i="5"/>
  <c r="J73" i="5" s="1"/>
  <c r="J74" i="5" s="1"/>
  <c r="H58" i="5"/>
  <c r="H73" i="5" s="1"/>
  <c r="H74" i="5" s="1"/>
  <c r="C57" i="5"/>
  <c r="K56" i="5"/>
  <c r="K57" i="5" s="1"/>
  <c r="I56" i="5"/>
  <c r="I57" i="5" s="1"/>
  <c r="G56" i="5"/>
  <c r="M56" i="5" s="1"/>
  <c r="E56" i="5"/>
  <c r="E57" i="5" s="1"/>
  <c r="O55" i="5"/>
  <c r="M55" i="5"/>
  <c r="H54" i="5"/>
  <c r="C54" i="5"/>
  <c r="K53" i="5"/>
  <c r="I53" i="5"/>
  <c r="G53" i="5"/>
  <c r="M53" i="5" s="1"/>
  <c r="E53" i="5"/>
  <c r="K52" i="5"/>
  <c r="I52" i="5"/>
  <c r="G52" i="5"/>
  <c r="E52" i="5"/>
  <c r="M52" i="5" s="1"/>
  <c r="K51" i="5"/>
  <c r="K54" i="5" s="1"/>
  <c r="I51" i="5"/>
  <c r="I54" i="5" s="1"/>
  <c r="G51" i="5"/>
  <c r="E51" i="5"/>
  <c r="E54" i="5" s="1"/>
  <c r="O50" i="5"/>
  <c r="M50" i="5"/>
  <c r="C49" i="5"/>
  <c r="K48" i="5"/>
  <c r="I48" i="5"/>
  <c r="G48" i="5"/>
  <c r="E48" i="5"/>
  <c r="M48" i="5" s="1"/>
  <c r="K47" i="5"/>
  <c r="K49" i="5" s="1"/>
  <c r="I47" i="5"/>
  <c r="I49" i="5" s="1"/>
  <c r="G47" i="5"/>
  <c r="G49" i="5" s="1"/>
  <c r="E47" i="5"/>
  <c r="M47" i="5" s="1"/>
  <c r="O46" i="5"/>
  <c r="M46" i="5"/>
  <c r="C45" i="5"/>
  <c r="K44" i="5"/>
  <c r="I44" i="5"/>
  <c r="G44" i="5"/>
  <c r="E44" i="5"/>
  <c r="M44" i="5" s="1"/>
  <c r="K43" i="5"/>
  <c r="K45" i="5" s="1"/>
  <c r="I43" i="5"/>
  <c r="G43" i="5"/>
  <c r="E43" i="5"/>
  <c r="M43" i="5" s="1"/>
  <c r="K42" i="5"/>
  <c r="I42" i="5"/>
  <c r="I45" i="5" s="1"/>
  <c r="G42" i="5"/>
  <c r="E42" i="5"/>
  <c r="M42" i="5" s="1"/>
  <c r="K41" i="5"/>
  <c r="I41" i="5"/>
  <c r="G41" i="5"/>
  <c r="G45" i="5" s="1"/>
  <c r="E41" i="5"/>
  <c r="M41" i="5" s="1"/>
  <c r="K40" i="5"/>
  <c r="I40" i="5"/>
  <c r="G40" i="5"/>
  <c r="E40" i="5"/>
  <c r="E45" i="5" s="1"/>
  <c r="M45" i="5" s="1"/>
  <c r="N45" i="5" s="1"/>
  <c r="O39" i="5"/>
  <c r="M39" i="5"/>
  <c r="C38" i="5"/>
  <c r="K37" i="5"/>
  <c r="K38" i="5" s="1"/>
  <c r="I37" i="5"/>
  <c r="I38" i="5" s="1"/>
  <c r="G37" i="5"/>
  <c r="G38" i="5" s="1"/>
  <c r="E37" i="5"/>
  <c r="M37" i="5" s="1"/>
  <c r="O36" i="5"/>
  <c r="M36" i="5"/>
  <c r="C35" i="5"/>
  <c r="K34" i="5"/>
  <c r="I34" i="5"/>
  <c r="G34" i="5"/>
  <c r="E34" i="5"/>
  <c r="M34" i="5" s="1"/>
  <c r="K33" i="5"/>
  <c r="I33" i="5"/>
  <c r="G33" i="5"/>
  <c r="G35" i="5" s="1"/>
  <c r="E33" i="5"/>
  <c r="M33" i="5" s="1"/>
  <c r="K32" i="5"/>
  <c r="I32" i="5"/>
  <c r="G32" i="5"/>
  <c r="E32" i="5"/>
  <c r="E35" i="5" s="1"/>
  <c r="M35" i="5" s="1"/>
  <c r="K31" i="5"/>
  <c r="I31" i="5"/>
  <c r="G31" i="5"/>
  <c r="E31" i="5"/>
  <c r="M31" i="5" s="1"/>
  <c r="K30" i="5"/>
  <c r="K35" i="5" s="1"/>
  <c r="I30" i="5"/>
  <c r="I35" i="5" s="1"/>
  <c r="G30" i="5"/>
  <c r="E30" i="5"/>
  <c r="M29" i="5"/>
  <c r="O29" i="5" s="1"/>
  <c r="C28" i="5"/>
  <c r="K27" i="5"/>
  <c r="I27" i="5"/>
  <c r="G27" i="5"/>
  <c r="E27" i="5"/>
  <c r="M27" i="5" s="1"/>
  <c r="K26" i="5"/>
  <c r="I26" i="5"/>
  <c r="G26" i="5"/>
  <c r="M26" i="5" s="1"/>
  <c r="O26" i="5" s="1"/>
  <c r="E26" i="5"/>
  <c r="M25" i="5"/>
  <c r="O25" i="5" s="1"/>
  <c r="K25" i="5"/>
  <c r="I25" i="5"/>
  <c r="G25" i="5"/>
  <c r="E25" i="5"/>
  <c r="K24" i="5"/>
  <c r="I24" i="5"/>
  <c r="G24" i="5"/>
  <c r="E24" i="5"/>
  <c r="M24" i="5" s="1"/>
  <c r="K23" i="5"/>
  <c r="I23" i="5"/>
  <c r="G23" i="5"/>
  <c r="E23" i="5"/>
  <c r="M23" i="5" s="1"/>
  <c r="K22" i="5"/>
  <c r="I22" i="5"/>
  <c r="G22" i="5"/>
  <c r="E22" i="5"/>
  <c r="M22" i="5" s="1"/>
  <c r="K21" i="5"/>
  <c r="I21" i="5"/>
  <c r="G21" i="5"/>
  <c r="E21" i="5"/>
  <c r="M21" i="5" s="1"/>
  <c r="K20" i="5"/>
  <c r="I20" i="5"/>
  <c r="G20" i="5"/>
  <c r="E20" i="5"/>
  <c r="M20" i="5" s="1"/>
  <c r="K19" i="5"/>
  <c r="I19" i="5"/>
  <c r="M19" i="5" s="1"/>
  <c r="G19" i="5"/>
  <c r="E19" i="5"/>
  <c r="K18" i="5"/>
  <c r="I18" i="5"/>
  <c r="G18" i="5"/>
  <c r="M18" i="5" s="1"/>
  <c r="E18" i="5"/>
  <c r="M17" i="5"/>
  <c r="O17" i="5" s="1"/>
  <c r="K17" i="5"/>
  <c r="I17" i="5"/>
  <c r="G17" i="5"/>
  <c r="E17" i="5"/>
  <c r="K16" i="5"/>
  <c r="I16" i="5"/>
  <c r="G16" i="5"/>
  <c r="E16" i="5"/>
  <c r="M16" i="5" s="1"/>
  <c r="K15" i="5"/>
  <c r="I15" i="5"/>
  <c r="G15" i="5"/>
  <c r="E15" i="5"/>
  <c r="M15" i="5" s="1"/>
  <c r="K14" i="5"/>
  <c r="I14" i="5"/>
  <c r="G14" i="5"/>
  <c r="E14" i="5"/>
  <c r="M14" i="5" s="1"/>
  <c r="K13" i="5"/>
  <c r="I13" i="5"/>
  <c r="G13" i="5"/>
  <c r="E13" i="5"/>
  <c r="M13" i="5" s="1"/>
  <c r="K12" i="5"/>
  <c r="K28" i="5" s="1"/>
  <c r="I12" i="5"/>
  <c r="I28" i="5" s="1"/>
  <c r="G12" i="5"/>
  <c r="G28" i="5" s="1"/>
  <c r="E12" i="5"/>
  <c r="E28" i="5" s="1"/>
  <c r="O11" i="5"/>
  <c r="M11" i="5"/>
  <c r="E10" i="5"/>
  <c r="C10" i="5"/>
  <c r="K9" i="5"/>
  <c r="I9" i="5"/>
  <c r="G9" i="5"/>
  <c r="E9" i="5"/>
  <c r="M9" i="5" s="1"/>
  <c r="O9" i="5" s="1"/>
  <c r="K8" i="5"/>
  <c r="I8" i="5"/>
  <c r="I10" i="5" s="1"/>
  <c r="G8" i="5"/>
  <c r="E8" i="5"/>
  <c r="K7" i="5"/>
  <c r="K10" i="5" s="1"/>
  <c r="I7" i="5"/>
  <c r="G7" i="5"/>
  <c r="G10" i="5" s="1"/>
  <c r="E7" i="5"/>
  <c r="G30" i="4"/>
  <c r="G25" i="4"/>
  <c r="F18" i="4"/>
  <c r="F17" i="4"/>
  <c r="G19" i="4" s="1"/>
  <c r="G32" i="4" s="1"/>
  <c r="J30" i="3"/>
  <c r="I30" i="3"/>
  <c r="H30" i="3"/>
  <c r="K30" i="3" s="1"/>
  <c r="G30" i="3"/>
  <c r="J28" i="3"/>
  <c r="I28" i="3"/>
  <c r="H28" i="3"/>
  <c r="L28" i="3" s="1"/>
  <c r="M28" i="3" s="1"/>
  <c r="G28" i="3"/>
  <c r="F23" i="3"/>
  <c r="D23" i="3"/>
  <c r="J21" i="3"/>
  <c r="I21" i="3"/>
  <c r="H21" i="3"/>
  <c r="L21" i="3" s="1"/>
  <c r="G21" i="3"/>
  <c r="F21" i="3"/>
  <c r="J19" i="3"/>
  <c r="I19" i="3"/>
  <c r="H19" i="3"/>
  <c r="L19" i="3" s="1"/>
  <c r="G19" i="3"/>
  <c r="H17" i="3"/>
  <c r="K17" i="3" s="1"/>
  <c r="G17" i="3"/>
  <c r="F17" i="3"/>
  <c r="J17" i="3" s="1"/>
  <c r="F15" i="3"/>
  <c r="J15" i="3" s="1"/>
  <c r="F13" i="3"/>
  <c r="J13" i="3" s="1"/>
  <c r="K12" i="3"/>
  <c r="J12" i="3"/>
  <c r="I12" i="3"/>
  <c r="J11" i="3"/>
  <c r="I11" i="3"/>
  <c r="H11" i="3"/>
  <c r="L11" i="3" s="1"/>
  <c r="G11" i="3"/>
  <c r="F11" i="3"/>
  <c r="M11" i="3" s="1"/>
  <c r="AC162" i="1"/>
  <c r="AC161" i="1"/>
  <c r="AB160" i="1"/>
  <c r="AA160" i="1"/>
  <c r="Z160" i="1"/>
  <c r="Y160" i="1"/>
  <c r="X160" i="1"/>
  <c r="W160" i="1"/>
  <c r="V160" i="1"/>
  <c r="M160" i="1"/>
  <c r="AB158" i="1"/>
  <c r="AA158" i="1"/>
  <c r="AA159" i="1" s="1"/>
  <c r="Z158" i="1"/>
  <c r="Z159" i="1" s="1"/>
  <c r="Y158" i="1"/>
  <c r="Y159" i="1" s="1"/>
  <c r="X158" i="1"/>
  <c r="X159" i="1" s="1"/>
  <c r="W158" i="1"/>
  <c r="V158" i="1"/>
  <c r="U158" i="1"/>
  <c r="T158" i="1"/>
  <c r="S158" i="1"/>
  <c r="R158" i="1"/>
  <c r="R159" i="1" s="1"/>
  <c r="Q158" i="1"/>
  <c r="Q159" i="1" s="1"/>
  <c r="P158" i="1"/>
  <c r="P159" i="1" s="1"/>
  <c r="O158" i="1"/>
  <c r="N158" i="1"/>
  <c r="L158" i="1"/>
  <c r="AC157" i="1"/>
  <c r="J157" i="1"/>
  <c r="AC156" i="1"/>
  <c r="J156" i="1"/>
  <c r="AC155" i="1"/>
  <c r="J155" i="1"/>
  <c r="AC154" i="1"/>
  <c r="J154" i="1"/>
  <c r="AC153" i="1"/>
  <c r="J153" i="1"/>
  <c r="AC152" i="1"/>
  <c r="J152" i="1"/>
  <c r="AC151" i="1"/>
  <c r="J151" i="1"/>
  <c r="AC150" i="1"/>
  <c r="J150" i="1"/>
  <c r="AC149" i="1"/>
  <c r="J149" i="1"/>
  <c r="AC148" i="1"/>
  <c r="J148" i="1"/>
  <c r="AC147" i="1"/>
  <c r="J147" i="1"/>
  <c r="AC146" i="1"/>
  <c r="J146" i="1"/>
  <c r="AC145" i="1"/>
  <c r="J145" i="1"/>
  <c r="AC144" i="1"/>
  <c r="J144" i="1"/>
  <c r="AC143" i="1"/>
  <c r="J143" i="1"/>
  <c r="AC142" i="1"/>
  <c r="J142" i="1"/>
  <c r="AC141" i="1"/>
  <c r="J141" i="1"/>
  <c r="AC140" i="1"/>
  <c r="J140" i="1"/>
  <c r="AC139" i="1"/>
  <c r="J139" i="1"/>
  <c r="AC138" i="1"/>
  <c r="J138" i="1"/>
  <c r="AC137" i="1"/>
  <c r="J137" i="1"/>
  <c r="AC136" i="1"/>
  <c r="J136" i="1"/>
  <c r="AC135" i="1"/>
  <c r="J135" i="1"/>
  <c r="AC134" i="1"/>
  <c r="AC133" i="1"/>
  <c r="J133" i="1"/>
  <c r="I133" i="1"/>
  <c r="M132" i="1"/>
  <c r="AC132" i="1" s="1"/>
  <c r="I132" i="1"/>
  <c r="I158" i="1" s="1"/>
  <c r="I159" i="1" s="1"/>
  <c r="I163" i="1" s="1"/>
  <c r="H132" i="1"/>
  <c r="J132" i="1" s="1"/>
  <c r="AC131" i="1"/>
  <c r="J131" i="1"/>
  <c r="AC130" i="1"/>
  <c r="AC129" i="1"/>
  <c r="J129" i="1"/>
  <c r="AC128" i="1"/>
  <c r="J128" i="1"/>
  <c r="AC127" i="1"/>
  <c r="M127" i="1"/>
  <c r="M158" i="1" s="1"/>
  <c r="H127" i="1"/>
  <c r="J127" i="1" s="1"/>
  <c r="AC126" i="1"/>
  <c r="J126" i="1"/>
  <c r="AC125" i="1"/>
  <c r="AC124" i="1"/>
  <c r="AB123" i="1"/>
  <c r="AA123" i="1"/>
  <c r="Z123" i="1"/>
  <c r="Y123" i="1"/>
  <c r="X123" i="1"/>
  <c r="W123" i="1"/>
  <c r="V123" i="1"/>
  <c r="M123" i="1"/>
  <c r="AC122" i="1"/>
  <c r="AC120" i="1"/>
  <c r="AB119" i="1"/>
  <c r="AA119" i="1"/>
  <c r="Z119" i="1"/>
  <c r="Y119" i="1"/>
  <c r="X119" i="1"/>
  <c r="W119" i="1"/>
  <c r="W159" i="1" s="1"/>
  <c r="V119" i="1"/>
  <c r="V159" i="1" s="1"/>
  <c r="T119" i="1"/>
  <c r="S119" i="1"/>
  <c r="R119" i="1"/>
  <c r="Q119" i="1"/>
  <c r="P119" i="1"/>
  <c r="O119" i="1"/>
  <c r="N119" i="1"/>
  <c r="N159" i="1" s="1"/>
  <c r="L119" i="1"/>
  <c r="AC118" i="1"/>
  <c r="J118" i="1"/>
  <c r="J117" i="1"/>
  <c r="AC116" i="1"/>
  <c r="J116" i="1"/>
  <c r="AC115" i="1"/>
  <c r="J115" i="1"/>
  <c r="AC114" i="1"/>
  <c r="J114" i="1"/>
  <c r="AC113" i="1"/>
  <c r="J113" i="1"/>
  <c r="AC112" i="1"/>
  <c r="J112" i="1"/>
  <c r="AC111" i="1"/>
  <c r="J111" i="1"/>
  <c r="AC110" i="1"/>
  <c r="J110" i="1"/>
  <c r="AC109" i="1"/>
  <c r="J109" i="1"/>
  <c r="AC108" i="1"/>
  <c r="J108" i="1"/>
  <c r="AC107" i="1"/>
  <c r="J107" i="1"/>
  <c r="AC106" i="1"/>
  <c r="J106" i="1"/>
  <c r="AC105" i="1"/>
  <c r="J105" i="1"/>
  <c r="AC104" i="1"/>
  <c r="J104" i="1"/>
  <c r="AC103" i="1"/>
  <c r="J103" i="1"/>
  <c r="AC102" i="1"/>
  <c r="J102" i="1"/>
  <c r="AC101" i="1"/>
  <c r="J101" i="1"/>
  <c r="AC100" i="1"/>
  <c r="J100" i="1"/>
  <c r="AC99" i="1"/>
  <c r="J99" i="1"/>
  <c r="AC98" i="1"/>
  <c r="J98" i="1"/>
  <c r="AC97" i="1"/>
  <c r="J97" i="1"/>
  <c r="AC96" i="1"/>
  <c r="J96" i="1"/>
  <c r="AC95" i="1"/>
  <c r="J95" i="1"/>
  <c r="AC94" i="1"/>
  <c r="J94" i="1"/>
  <c r="AC93" i="1"/>
  <c r="J93" i="1"/>
  <c r="AC92" i="1"/>
  <c r="J92" i="1"/>
  <c r="AC91" i="1"/>
  <c r="J91" i="1"/>
  <c r="AC90" i="1"/>
  <c r="J90" i="1"/>
  <c r="AC89" i="1"/>
  <c r="J89" i="1"/>
  <c r="AC88" i="1"/>
  <c r="J88" i="1"/>
  <c r="AC87" i="1"/>
  <c r="U87" i="1"/>
  <c r="U119" i="1" s="1"/>
  <c r="U159" i="1" s="1"/>
  <c r="I87" i="1"/>
  <c r="H87" i="1"/>
  <c r="J87" i="1" s="1"/>
  <c r="AC86" i="1"/>
  <c r="M86" i="1"/>
  <c r="I86" i="1"/>
  <c r="I119" i="1" s="1"/>
  <c r="H86" i="1"/>
  <c r="J86" i="1" s="1"/>
  <c r="AC85" i="1"/>
  <c r="J85" i="1"/>
  <c r="AC84" i="1"/>
  <c r="M84" i="1"/>
  <c r="M119" i="1" s="1"/>
  <c r="AC119" i="1" s="1"/>
  <c r="I84" i="1"/>
  <c r="H84" i="1"/>
  <c r="J84" i="1" s="1"/>
  <c r="AC83" i="1"/>
  <c r="AC82" i="1"/>
  <c r="J82" i="1"/>
  <c r="AC81" i="1"/>
  <c r="AB80" i="1"/>
  <c r="AA80" i="1"/>
  <c r="Z80" i="1"/>
  <c r="Y80" i="1"/>
  <c r="X80" i="1"/>
  <c r="W80" i="1"/>
  <c r="V80" i="1"/>
  <c r="M80" i="1"/>
  <c r="AA79" i="1"/>
  <c r="AA121" i="1" s="1"/>
  <c r="AA163" i="1" s="1"/>
  <c r="X79" i="1"/>
  <c r="X121" i="1" s="1"/>
  <c r="X163" i="1" s="1"/>
  <c r="W79" i="1"/>
  <c r="W121" i="1" s="1"/>
  <c r="W163" i="1" s="1"/>
  <c r="P79" i="1"/>
  <c r="P121" i="1" s="1"/>
  <c r="P163" i="1" s="1"/>
  <c r="AC78" i="1"/>
  <c r="AB77" i="1"/>
  <c r="AA77" i="1"/>
  <c r="Z77" i="1"/>
  <c r="Z79" i="1" s="1"/>
  <c r="Z121" i="1" s="1"/>
  <c r="Z163" i="1" s="1"/>
  <c r="Y77" i="1"/>
  <c r="X77" i="1"/>
  <c r="W77" i="1"/>
  <c r="V77" i="1"/>
  <c r="U77" i="1"/>
  <c r="T77" i="1"/>
  <c r="R77" i="1"/>
  <c r="Q77" i="1"/>
  <c r="P77" i="1"/>
  <c r="O77" i="1"/>
  <c r="N77" i="1"/>
  <c r="M77" i="1"/>
  <c r="L77" i="1"/>
  <c r="AC76" i="1"/>
  <c r="J76" i="1"/>
  <c r="AC75" i="1"/>
  <c r="AC74" i="1"/>
  <c r="J74" i="1"/>
  <c r="AC73" i="1"/>
  <c r="J73" i="1"/>
  <c r="AC72" i="1"/>
  <c r="J72" i="1"/>
  <c r="AC71" i="1"/>
  <c r="J71" i="1"/>
  <c r="AC70" i="1"/>
  <c r="J70" i="1"/>
  <c r="AC69" i="1"/>
  <c r="J69" i="1"/>
  <c r="AC68" i="1"/>
  <c r="J68" i="1"/>
  <c r="AC67" i="1"/>
  <c r="J67" i="1"/>
  <c r="AC66" i="1"/>
  <c r="J66" i="1"/>
  <c r="AC65" i="1"/>
  <c r="J65" i="1"/>
  <c r="AC64" i="1"/>
  <c r="J64" i="1"/>
  <c r="AC63" i="1"/>
  <c r="J63" i="1"/>
  <c r="AC62" i="1"/>
  <c r="J62" i="1"/>
  <c r="AC61" i="1"/>
  <c r="J61" i="1"/>
  <c r="AC60" i="1"/>
  <c r="J60" i="1"/>
  <c r="AC59" i="1"/>
  <c r="J59" i="1"/>
  <c r="AC58" i="1"/>
  <c r="J58" i="1"/>
  <c r="AC57" i="1"/>
  <c r="J57" i="1"/>
  <c r="AC56" i="1"/>
  <c r="J56" i="1"/>
  <c r="AC55" i="1"/>
  <c r="J55" i="1"/>
  <c r="AC54" i="1"/>
  <c r="J54" i="1"/>
  <c r="AC53" i="1"/>
  <c r="J53" i="1"/>
  <c r="AC52" i="1"/>
  <c r="S52" i="1"/>
  <c r="S77" i="1" s="1"/>
  <c r="I52" i="1"/>
  <c r="H52" i="1"/>
  <c r="J52" i="1" s="1"/>
  <c r="AC51" i="1"/>
  <c r="M51" i="1"/>
  <c r="J51" i="1"/>
  <c r="I51" i="1"/>
  <c r="I77" i="1" s="1"/>
  <c r="H51" i="1"/>
  <c r="AC50" i="1"/>
  <c r="AC49" i="1"/>
  <c r="J49" i="1"/>
  <c r="J77" i="1" s="1"/>
  <c r="AC48" i="1"/>
  <c r="AC47" i="1"/>
  <c r="AC46" i="1"/>
  <c r="AB45" i="1"/>
  <c r="AA45" i="1"/>
  <c r="Z45" i="1"/>
  <c r="Y45" i="1"/>
  <c r="X45" i="1"/>
  <c r="W45" i="1"/>
  <c r="V45" i="1"/>
  <c r="M45" i="1"/>
  <c r="AC44" i="1"/>
  <c r="AB43" i="1"/>
  <c r="AB159" i="1" s="1"/>
  <c r="AA43" i="1"/>
  <c r="Z43" i="1"/>
  <c r="Y43" i="1"/>
  <c r="Y79" i="1" s="1"/>
  <c r="Y121" i="1" s="1"/>
  <c r="Y163" i="1" s="1"/>
  <c r="X43" i="1"/>
  <c r="W43" i="1"/>
  <c r="V43" i="1"/>
  <c r="V79" i="1" s="1"/>
  <c r="V121" i="1" s="1"/>
  <c r="V163" i="1" s="1"/>
  <c r="U43" i="1"/>
  <c r="U79" i="1" s="1"/>
  <c r="U121" i="1" s="1"/>
  <c r="U163" i="1" s="1"/>
  <c r="T43" i="1"/>
  <c r="T159" i="1" s="1"/>
  <c r="R43" i="1"/>
  <c r="R79" i="1" s="1"/>
  <c r="R121" i="1" s="1"/>
  <c r="R163" i="1" s="1"/>
  <c r="Q43" i="1"/>
  <c r="Q79" i="1" s="1"/>
  <c r="Q121" i="1" s="1"/>
  <c r="Q163" i="1" s="1"/>
  <c r="P43" i="1"/>
  <c r="N43" i="1"/>
  <c r="N79" i="1" s="1"/>
  <c r="N121" i="1" s="1"/>
  <c r="N163" i="1" s="1"/>
  <c r="M43" i="1"/>
  <c r="L43" i="1"/>
  <c r="L159" i="1" s="1"/>
  <c r="K43" i="1"/>
  <c r="K159" i="1" s="1"/>
  <c r="AC42" i="1"/>
  <c r="J42" i="1"/>
  <c r="AC41" i="1"/>
  <c r="J41" i="1"/>
  <c r="AC40" i="1"/>
  <c r="J40" i="1"/>
  <c r="AC39" i="1"/>
  <c r="J39" i="1"/>
  <c r="AC38" i="1"/>
  <c r="J38" i="1"/>
  <c r="AC37" i="1"/>
  <c r="J37" i="1"/>
  <c r="AC36" i="1"/>
  <c r="J36" i="1"/>
  <c r="AC35" i="1"/>
  <c r="J35" i="1"/>
  <c r="AC34" i="1"/>
  <c r="J34" i="1"/>
  <c r="AC33" i="1"/>
  <c r="J33" i="1"/>
  <c r="AC32" i="1"/>
  <c r="J32" i="1"/>
  <c r="AC31" i="1"/>
  <c r="J31" i="1"/>
  <c r="AC30" i="1"/>
  <c r="J30" i="1"/>
  <c r="AC29" i="1"/>
  <c r="O29" i="1"/>
  <c r="O43" i="1" s="1"/>
  <c r="O79" i="1" s="1"/>
  <c r="O121" i="1" s="1"/>
  <c r="O163" i="1" s="1"/>
  <c r="I29" i="1"/>
  <c r="H29" i="1"/>
  <c r="J29" i="1" s="1"/>
  <c r="AC28" i="1"/>
  <c r="J28" i="1"/>
  <c r="AC27" i="1"/>
  <c r="J27" i="1"/>
  <c r="AC26" i="1"/>
  <c r="J26" i="1"/>
  <c r="AC25" i="1"/>
  <c r="J25" i="1"/>
  <c r="AC24" i="1"/>
  <c r="J24" i="1"/>
  <c r="S23" i="1"/>
  <c r="AC23" i="1" s="1"/>
  <c r="I23" i="1"/>
  <c r="AC22" i="1"/>
  <c r="J22" i="1"/>
  <c r="AC21" i="1"/>
  <c r="J21" i="1"/>
  <c r="AC20" i="1"/>
  <c r="J20" i="1"/>
  <c r="AC19" i="1"/>
  <c r="J19" i="1"/>
  <c r="AC18" i="1"/>
  <c r="J18" i="1"/>
  <c r="AC17" i="1"/>
  <c r="J17" i="1"/>
  <c r="AC16" i="1"/>
  <c r="J16" i="1"/>
  <c r="AC15" i="1"/>
  <c r="J15" i="1"/>
  <c r="AC14" i="1"/>
  <c r="J14" i="1"/>
  <c r="AC13" i="1"/>
  <c r="J13" i="1"/>
  <c r="AC12" i="1"/>
  <c r="J12" i="1"/>
  <c r="AC11" i="1"/>
  <c r="M11" i="1"/>
  <c r="I11" i="1"/>
  <c r="I43" i="1" s="1"/>
  <c r="H11" i="1"/>
  <c r="J11" i="1" s="1"/>
  <c r="AC10" i="1"/>
  <c r="J10" i="1"/>
  <c r="M9" i="1"/>
  <c r="U7" i="1"/>
  <c r="U123" i="1" s="1"/>
  <c r="T7" i="1"/>
  <c r="T160" i="1" s="1"/>
  <c r="S7" i="1"/>
  <c r="S45" i="1" s="1"/>
  <c r="R7" i="1"/>
  <c r="R45" i="1" s="1"/>
  <c r="Q7" i="1"/>
  <c r="Q45" i="1" s="1"/>
  <c r="P7" i="1"/>
  <c r="P45" i="1" s="1"/>
  <c r="O7" i="1"/>
  <c r="O123" i="1" s="1"/>
  <c r="N7" i="1"/>
  <c r="N123" i="1" s="1"/>
  <c r="L7" i="1"/>
  <c r="L160" i="1" s="1"/>
  <c r="I4" i="1"/>
  <c r="H4" i="1" s="1"/>
  <c r="D4" i="1"/>
  <c r="H3" i="1"/>
  <c r="J3" i="1" s="1"/>
  <c r="J2" i="1"/>
  <c r="I2" i="1"/>
  <c r="D2" i="1"/>
  <c r="N18" i="5" l="1"/>
  <c r="O18" i="5"/>
  <c r="N42" i="5"/>
  <c r="O42" i="5"/>
  <c r="O44" i="5"/>
  <c r="N44" i="5"/>
  <c r="O37" i="5"/>
  <c r="N37" i="5"/>
  <c r="C67" i="5"/>
  <c r="O10" i="5"/>
  <c r="O13" i="5"/>
  <c r="N13" i="5"/>
  <c r="N15" i="5"/>
  <c r="O15" i="5"/>
  <c r="N35" i="5"/>
  <c r="O35" i="5"/>
  <c r="N34" i="5"/>
  <c r="O34" i="5"/>
  <c r="M10" i="5"/>
  <c r="N10" i="5" s="1"/>
  <c r="O21" i="5"/>
  <c r="N21" i="5"/>
  <c r="N23" i="5"/>
  <c r="O23" i="5"/>
  <c r="O48" i="5"/>
  <c r="N48" i="5"/>
  <c r="N53" i="5"/>
  <c r="O53" i="5"/>
  <c r="O56" i="5"/>
  <c r="N56" i="5"/>
  <c r="O27" i="5"/>
  <c r="N27" i="5"/>
  <c r="N41" i="5"/>
  <c r="O41" i="5"/>
  <c r="O43" i="5"/>
  <c r="N43" i="5"/>
  <c r="O45" i="5"/>
  <c r="I58" i="5"/>
  <c r="I73" i="5"/>
  <c r="I74" i="5" s="1"/>
  <c r="O19" i="5"/>
  <c r="N19" i="5"/>
  <c r="K58" i="5"/>
  <c r="K70" i="5"/>
  <c r="K73" i="5" s="1"/>
  <c r="K74" i="5" s="1"/>
  <c r="M28" i="5"/>
  <c r="N28" i="5" s="1"/>
  <c r="N14" i="5"/>
  <c r="O14" i="5"/>
  <c r="O16" i="5"/>
  <c r="N16" i="5"/>
  <c r="O31" i="5"/>
  <c r="N31" i="5"/>
  <c r="N33" i="5"/>
  <c r="O33" i="5"/>
  <c r="O52" i="5"/>
  <c r="N52" i="5"/>
  <c r="N62" i="5"/>
  <c r="O62" i="5"/>
  <c r="O20" i="5"/>
  <c r="N20" i="5"/>
  <c r="O22" i="5"/>
  <c r="N22" i="5"/>
  <c r="O24" i="5"/>
  <c r="N24" i="5"/>
  <c r="O47" i="5"/>
  <c r="N47" i="5"/>
  <c r="M40" i="5"/>
  <c r="M12" i="5"/>
  <c r="O61" i="5"/>
  <c r="E69" i="5"/>
  <c r="M69" i="5" s="1"/>
  <c r="M32" i="5"/>
  <c r="M8" i="5"/>
  <c r="M30" i="5"/>
  <c r="G57" i="5"/>
  <c r="M57" i="5" s="1"/>
  <c r="E63" i="5"/>
  <c r="E49" i="5"/>
  <c r="M49" i="5" s="1"/>
  <c r="G54" i="5"/>
  <c r="M54" i="5" s="1"/>
  <c r="C58" i="5"/>
  <c r="M7" i="5"/>
  <c r="E38" i="5"/>
  <c r="M38" i="5" s="1"/>
  <c r="N38" i="5" s="1"/>
  <c r="N17" i="5"/>
  <c r="N25" i="5"/>
  <c r="M51" i="5"/>
  <c r="G13" i="3"/>
  <c r="G15" i="3"/>
  <c r="L17" i="3"/>
  <c r="L24" i="3"/>
  <c r="M24" i="3"/>
  <c r="K21" i="3"/>
  <c r="K11" i="3"/>
  <c r="H13" i="3"/>
  <c r="H15" i="3"/>
  <c r="I17" i="3"/>
  <c r="K19" i="3"/>
  <c r="K28" i="3"/>
  <c r="L30" i="3"/>
  <c r="M30" i="3" s="1"/>
  <c r="I13" i="3"/>
  <c r="I15" i="3"/>
  <c r="AC43" i="1"/>
  <c r="AC77" i="1"/>
  <c r="J158" i="1"/>
  <c r="M159" i="1"/>
  <c r="AC158" i="1"/>
  <c r="I79" i="1"/>
  <c r="I121" i="1" s="1"/>
  <c r="O159" i="1"/>
  <c r="L45" i="1"/>
  <c r="T45" i="1"/>
  <c r="P80" i="1"/>
  <c r="H119" i="1"/>
  <c r="J119" i="1" s="1"/>
  <c r="P123" i="1"/>
  <c r="U160" i="1"/>
  <c r="H43" i="1"/>
  <c r="H79" i="1" s="1"/>
  <c r="U45" i="1"/>
  <c r="H77" i="1"/>
  <c r="Q80" i="1"/>
  <c r="Q123" i="1"/>
  <c r="N160" i="1"/>
  <c r="AC160" i="1" s="1"/>
  <c r="N45" i="1"/>
  <c r="L79" i="1"/>
  <c r="T79" i="1"/>
  <c r="T121" i="1" s="1"/>
  <c r="T163" i="1" s="1"/>
  <c r="AB79" i="1"/>
  <c r="AB121" i="1" s="1"/>
  <c r="AB163" i="1" s="1"/>
  <c r="R80" i="1"/>
  <c r="R123" i="1"/>
  <c r="O160" i="1"/>
  <c r="O45" i="1"/>
  <c r="M79" i="1"/>
  <c r="M121" i="1" s="1"/>
  <c r="M163" i="1" s="1"/>
  <c r="S80" i="1"/>
  <c r="S123" i="1"/>
  <c r="P160" i="1"/>
  <c r="S43" i="1"/>
  <c r="S79" i="1" s="1"/>
  <c r="S121" i="1" s="1"/>
  <c r="S163" i="1" s="1"/>
  <c r="L80" i="1"/>
  <c r="T80" i="1"/>
  <c r="L123" i="1"/>
  <c r="T123" i="1"/>
  <c r="H158" i="1"/>
  <c r="Q160" i="1"/>
  <c r="J23" i="1"/>
  <c r="J43" i="1" s="1"/>
  <c r="U80" i="1"/>
  <c r="R160" i="1"/>
  <c r="N80" i="1"/>
  <c r="S160" i="1"/>
  <c r="O80" i="1"/>
  <c r="M58" i="5" l="1"/>
  <c r="N57" i="5"/>
  <c r="O57" i="5"/>
  <c r="N54" i="5"/>
  <c r="O54" i="5"/>
  <c r="O8" i="5"/>
  <c r="N8" i="5"/>
  <c r="O7" i="5"/>
  <c r="N7" i="5"/>
  <c r="O32" i="5"/>
  <c r="N32" i="5"/>
  <c r="O49" i="5"/>
  <c r="N49" i="5"/>
  <c r="O12" i="5"/>
  <c r="N12" i="5"/>
  <c r="O51" i="5"/>
  <c r="N51" i="5"/>
  <c r="M63" i="5"/>
  <c r="E70" i="5"/>
  <c r="O40" i="5"/>
  <c r="N40" i="5"/>
  <c r="O67" i="5"/>
  <c r="C69" i="5"/>
  <c r="O28" i="5"/>
  <c r="G58" i="5"/>
  <c r="G73" i="5" s="1"/>
  <c r="G74" i="5" s="1"/>
  <c r="O30" i="5"/>
  <c r="N30" i="5"/>
  <c r="O38" i="5"/>
  <c r="E58" i="5"/>
  <c r="L13" i="3"/>
  <c r="M13" i="3" s="1"/>
  <c r="K13" i="3"/>
  <c r="L15" i="3"/>
  <c r="K15" i="3"/>
  <c r="AC159" i="1"/>
  <c r="AC123" i="1"/>
  <c r="AC80" i="1"/>
  <c r="J159" i="1"/>
  <c r="J163" i="1" s="1"/>
  <c r="AC45" i="1"/>
  <c r="S159" i="1"/>
  <c r="H121" i="1"/>
  <c r="J79" i="1"/>
  <c r="H159" i="1"/>
  <c r="H163" i="1" s="1"/>
  <c r="AC79" i="1"/>
  <c r="L121" i="1"/>
  <c r="O69" i="5" l="1"/>
  <c r="C70" i="5"/>
  <c r="G76" i="5" s="1"/>
  <c r="E73" i="5"/>
  <c r="E74" i="5" s="1"/>
  <c r="O58" i="5"/>
  <c r="N63" i="5"/>
  <c r="N70" i="5" s="1"/>
  <c r="M70" i="5"/>
  <c r="M73" i="5" s="1"/>
  <c r="O63" i="5"/>
  <c r="O70" i="5" s="1"/>
  <c r="N58" i="5"/>
  <c r="L163" i="1"/>
  <c r="AC163" i="1" s="1"/>
  <c r="AC121" i="1"/>
  <c r="J121" i="1"/>
  <c r="M74" i="5" l="1"/>
  <c r="G77" i="5"/>
  <c r="O73" i="5"/>
  <c r="G79" i="5"/>
</calcChain>
</file>

<file path=xl/sharedStrings.xml><?xml version="1.0" encoding="utf-8"?>
<sst xmlns="http://schemas.openxmlformats.org/spreadsheetml/2006/main" count="1038" uniqueCount="328">
  <si>
    <t>protect=parish</t>
  </si>
  <si>
    <t>VAT CALCULATOR</t>
  </si>
  <si>
    <t>NET</t>
  </si>
  <si>
    <t>GROSS</t>
  </si>
  <si>
    <t>VAT</t>
  </si>
  <si>
    <t>LOSTOCK GRALAM PARISH COUNCIL</t>
  </si>
  <si>
    <t>Payments Ledger</t>
  </si>
  <si>
    <t>1 April 2020 - 31 March 2021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</si>
  <si>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</si>
  <si>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</si>
  <si>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</si>
  <si>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</si>
  <si>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</si>
  <si>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</si>
  <si>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</si>
  <si>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</si>
  <si>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</si>
  <si>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</si>
  <si>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Date</t>
  </si>
  <si>
    <t>Chq No.</t>
  </si>
  <si>
    <t>Type</t>
  </si>
  <si>
    <t>Qtr</t>
  </si>
  <si>
    <t>Payee</t>
  </si>
  <si>
    <t>Details</t>
  </si>
  <si>
    <t>Bud</t>
  </si>
  <si>
    <t>Vat</t>
  </si>
  <si>
    <t>Total</t>
  </si>
  <si>
    <t>Check</t>
  </si>
  <si>
    <t>Cleared</t>
  </si>
  <si>
    <t>ADMINISTRATION COSTS</t>
  </si>
  <si>
    <t>Cap Project</t>
  </si>
  <si>
    <t>Other</t>
  </si>
  <si>
    <t>Ref</t>
  </si>
  <si>
    <t>Number</t>
  </si>
  <si>
    <t>Cat</t>
  </si>
  <si>
    <t>Cap</t>
  </si>
  <si>
    <t>K</t>
  </si>
  <si>
    <t>L</t>
  </si>
  <si>
    <t>M</t>
  </si>
  <si>
    <t>N</t>
  </si>
  <si>
    <t>O</t>
  </si>
  <si>
    <t>P</t>
  </si>
  <si>
    <t>Q</t>
  </si>
  <si>
    <t>CONTRACT</t>
  </si>
  <si>
    <t>Q1</t>
  </si>
  <si>
    <t>LYNDSEY SANDISON</t>
  </si>
  <si>
    <t xml:space="preserve">WAGES </t>
  </si>
  <si>
    <t>A1</t>
  </si>
  <si>
    <t>Y</t>
  </si>
  <si>
    <t>EXPENSE</t>
  </si>
  <si>
    <t>MOBILE PHONE CHARGES</t>
  </si>
  <si>
    <t>B1</t>
  </si>
  <si>
    <t>TRAVEL EXPENSES</t>
  </si>
  <si>
    <t>B10</t>
  </si>
  <si>
    <t>ADMIN EXPENSES</t>
  </si>
  <si>
    <t>B2</t>
  </si>
  <si>
    <t>COVID 19 EXPENSES</t>
  </si>
  <si>
    <t>H1</t>
  </si>
  <si>
    <t>HMRC</t>
  </si>
  <si>
    <t>TAX &amp; NI</t>
  </si>
  <si>
    <t>A2</t>
  </si>
  <si>
    <t>CHANGING LIVES</t>
  </si>
  <si>
    <t xml:space="preserve">ANNUAL PAYROLL FEE </t>
  </si>
  <si>
    <t>B18</t>
  </si>
  <si>
    <t>E.ON</t>
  </si>
  <si>
    <t>FESTIVE LIGHTS ELEC</t>
  </si>
  <si>
    <t>G2</t>
  </si>
  <si>
    <t>CG SERVICES CHESHIRE LTD</t>
  </si>
  <si>
    <t xml:space="preserve">GRASS CUTTING </t>
  </si>
  <si>
    <t>C2</t>
  </si>
  <si>
    <t>PLAY INSPECTION</t>
  </si>
  <si>
    <t>C4</t>
  </si>
  <si>
    <t>LOSTOCK GRALAM CHURCH HALL</t>
  </si>
  <si>
    <t>ANNUAL HALL HIRE</t>
  </si>
  <si>
    <t>B4</t>
  </si>
  <si>
    <t>NORTHWICH TOWN COUNCIL</t>
  </si>
  <si>
    <t>FLOWER PLANTERS</t>
  </si>
  <si>
    <t>C1</t>
  </si>
  <si>
    <t>S/O</t>
  </si>
  <si>
    <t>FREEOLA</t>
  </si>
  <si>
    <t xml:space="preserve">WEBSITE FEE </t>
  </si>
  <si>
    <t>B9</t>
  </si>
  <si>
    <t>CHAIRMANS ALLOWANCE</t>
  </si>
  <si>
    <t>B11</t>
  </si>
  <si>
    <t>JDH BUSINESS SERVICES LTD</t>
  </si>
  <si>
    <t>INTERNAL AUDIT FEE</t>
  </si>
  <si>
    <t>B14</t>
  </si>
  <si>
    <t>PLAY SAFETY LTD</t>
  </si>
  <si>
    <t>ANNUAL PLAY INSPECTION</t>
  </si>
  <si>
    <t>SUEZ</t>
  </si>
  <si>
    <t>EXCESS WEIGHT</t>
  </si>
  <si>
    <t>D1</t>
  </si>
  <si>
    <t>ASH WASTE SERVICES</t>
  </si>
  <si>
    <t>BIN HIRE &amp; COLLECTION</t>
  </si>
  <si>
    <t>ICO</t>
  </si>
  <si>
    <t>ANNUAL FEE</t>
  </si>
  <si>
    <t>B20</t>
  </si>
  <si>
    <t>UNDERPAID ABOVE BY £1</t>
  </si>
  <si>
    <t>GRANT</t>
  </si>
  <si>
    <t>LOSTOCKGRALAM PRIMARY SCHOOL</t>
  </si>
  <si>
    <t xml:space="preserve">S137 DONATION </t>
  </si>
  <si>
    <t>F1</t>
  </si>
  <si>
    <t xml:space="preserve">CHALC </t>
  </si>
  <si>
    <t>ANNUAL AFFILIATION FEE</t>
  </si>
  <si>
    <t>E1</t>
  </si>
  <si>
    <t>VOID</t>
  </si>
  <si>
    <t>P/O</t>
  </si>
  <si>
    <t>CARDIAC SCIENCE HOLDINGS UK</t>
  </si>
  <si>
    <t>REPLACEMENT DEFIB PADS</t>
  </si>
  <si>
    <t>FOOTBALL PITCH REPAIRS</t>
  </si>
  <si>
    <t>C5</t>
  </si>
  <si>
    <t>REPAIRS</t>
  </si>
  <si>
    <t>First Quarter/Year to date Totals</t>
  </si>
  <si>
    <t>Minute</t>
  </si>
  <si>
    <t>Q2</t>
  </si>
  <si>
    <t>ADMIN EXPENSES- Zoom Fee</t>
  </si>
  <si>
    <t xml:space="preserve">POSTAGEN- INC Y/E FOLDER POSTAGE </t>
  </si>
  <si>
    <t>B3</t>
  </si>
  <si>
    <t>INK - PRINTING</t>
  </si>
  <si>
    <t>ZURICH MUNICIPAL</t>
  </si>
  <si>
    <t>ANNUAL INSURANCE</t>
  </si>
  <si>
    <t>B15</t>
  </si>
  <si>
    <t>INSPECTION</t>
  </si>
  <si>
    <t>TOM BARROW</t>
  </si>
  <si>
    <t>LOGO DESIGNER FEE</t>
  </si>
  <si>
    <t>THE SIGN SHED</t>
  </si>
  <si>
    <t>COVID 19 SIGNAGE</t>
  </si>
  <si>
    <t>REPLACEMENT NO DOGS SIGN</t>
  </si>
  <si>
    <t>YOUR ENVIRONMENT</t>
  </si>
  <si>
    <t>CHQ 1 - SOAKAWAY TESTING</t>
  </si>
  <si>
    <t>I1</t>
  </si>
  <si>
    <t>CHQ 2 - SOAKAWAY TESTING</t>
  </si>
  <si>
    <t>PKF LITTLEJOHN</t>
  </si>
  <si>
    <t>ANNUAL RETURN - AUDIT</t>
  </si>
  <si>
    <t>NEW GATE LOCK</t>
  </si>
  <si>
    <t>ANNUAL SKIP HIRE AND BIN BAGS</t>
  </si>
  <si>
    <t>C3</t>
  </si>
  <si>
    <t>JOHN W WRIGHT</t>
  </si>
  <si>
    <t>COMMUNITY CENTRE LEASE PLAN</t>
  </si>
  <si>
    <t>B13</t>
  </si>
  <si>
    <t>FCC RECYCLING UK LTD</t>
  </si>
  <si>
    <t>3RD PARTY 10% CONTRIBUTION</t>
  </si>
  <si>
    <t>2 Year Domain Renewal</t>
  </si>
  <si>
    <t>Second Quarter/Year to date Totals</t>
  </si>
  <si>
    <t>Q3</t>
  </si>
  <si>
    <t>VEOLIA ES UK LTD</t>
  </si>
  <si>
    <t>LITTER PICK TOOLS EXPENSES</t>
  </si>
  <si>
    <t>J1</t>
  </si>
  <si>
    <t>GLUE</t>
  </si>
  <si>
    <t>POSTAGE</t>
  </si>
  <si>
    <t>THE BOSTON BULB COMPANY</t>
  </si>
  <si>
    <t>DAFF BULBS AND TULIPS</t>
  </si>
  <si>
    <t>FLOWER PLANTER LOGO SIGNS</t>
  </si>
  <si>
    <t>PLAY AREA REPAIRS</t>
  </si>
  <si>
    <t>BHMA LTD</t>
  </si>
  <si>
    <t>SOCIAL DISTANCE SIGN</t>
  </si>
  <si>
    <t>LAPTOP WORKSHOP FEE + NEW LAPTOP</t>
  </si>
  <si>
    <t>ST JOHN PCC</t>
  </si>
  <si>
    <t>WREATH</t>
  </si>
  <si>
    <t>GRAHAM OAKES</t>
  </si>
  <si>
    <t>LITTER PICK AT PLAYAREA COSTS</t>
  </si>
  <si>
    <t>DAVID MARSHALL</t>
  </si>
  <si>
    <t>LOSTOCK EVENTS- XMAS WINTER WONDERERLAND</t>
  </si>
  <si>
    <t>CHURCH YARD GRANT</t>
  </si>
  <si>
    <t>F2</t>
  </si>
  <si>
    <t xml:space="preserve">SELECTION BOXES + BISCUTES/CHOCS </t>
  </si>
  <si>
    <t>G3</t>
  </si>
  <si>
    <t>PO</t>
  </si>
  <si>
    <t>WINTER TIDY</t>
  </si>
  <si>
    <t>DRAINAGE DESIGN</t>
  </si>
  <si>
    <t>y</t>
  </si>
  <si>
    <t>Third Quarter Totals</t>
  </si>
  <si>
    <t xml:space="preserve">YEAR TO DATE TOTALS </t>
  </si>
  <si>
    <t>Q4</t>
  </si>
  <si>
    <t>PLANNING CONDITIONS APPLICATION</t>
  </si>
  <si>
    <t>PLANTING EQUIPMENT</t>
  </si>
  <si>
    <t>GLUE + STICKY PADS</t>
  </si>
  <si>
    <t>CHRISTMAS TREE</t>
  </si>
  <si>
    <t>G1</t>
  </si>
  <si>
    <t>TRAINING COURSE</t>
  </si>
  <si>
    <t>B12</t>
  </si>
  <si>
    <t>ROYAL MAIL GROUP LTD</t>
  </si>
  <si>
    <t>PO BOX RENEWAL</t>
  </si>
  <si>
    <t>B5</t>
  </si>
  <si>
    <t>SCHOOLSCAPES</t>
  </si>
  <si>
    <t>BONGO DRUM LID</t>
  </si>
  <si>
    <t>SIMON ROBERTS PRINTING</t>
  </si>
  <si>
    <t>POSTER PRINTING</t>
  </si>
  <si>
    <t>B6</t>
  </si>
  <si>
    <t>DEFIB STORE LTD</t>
  </si>
  <si>
    <t>DEFIB CPR PADS</t>
  </si>
  <si>
    <t>LOSTOCK GRALAM COFE PRIMARY</t>
  </si>
  <si>
    <t>Fourth Quarter Totals</t>
  </si>
  <si>
    <t>YEAR END TOTALS</t>
  </si>
  <si>
    <t xml:space="preserve">Explanation of variances – pro forma </t>
  </si>
  <si>
    <t xml:space="preserve">Name of smaller authority: </t>
  </si>
  <si>
    <t>Lostock Gralam Parish Council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</si>
  <si>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  <r>
      <rPr>
        <sz val="8"/>
        <color theme="1"/>
        <rFont val="Arial"/>
        <family val="2"/>
      </rPr>
      <t>Cheshire</t>
    </r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</si>
  <si>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</si>
  <si>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a breakdown of approved reserves on the next tab if the total reserves (Box 7) figure is more than twice the annual precept/rates &amp; levies value (Box 2).
</t>
    </r>
  </si>
  <si>
    <t>2019/20</t>
  </si>
  <si>
    <t>2020/21</t>
  </si>
  <si>
    <t>Variance</t>
  </si>
  <si>
    <t>Explanation Required?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</si>
  <si>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</si>
  <si>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</si>
  <si>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£</t>
  </si>
  <si>
    <t>%</t>
  </si>
  <si>
    <t>1 Balances Brought Forward</t>
  </si>
  <si>
    <t>2 Precept or Rates and Levies</t>
  </si>
  <si>
    <t>3 Total Other Receipts</t>
  </si>
  <si>
    <t>Grant from Veolia of £26,800 ready for the MUGA project which has over run into the next finacial year.We haven't had the usual level of Christmas grants  and project grants  due to Covid.</t>
  </si>
  <si>
    <t>4 Staff Costs</t>
  </si>
  <si>
    <t>5 Loan Interest/Capital Repayment</t>
  </si>
  <si>
    <t>6 All Other Payments</t>
  </si>
  <si>
    <t>We have spent £10,560.84 on the MUGA project which is not normal for us. This money has been used to pay 3rd party grant contributions to FCC  £3272.84 and Veolia £3350.00 and pay for specialist reports which have been required by CWAC Planning for our planning application. This includes Your Environment invoice/s of £3880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</si>
  <si>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</si>
  <si>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</si>
  <si>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</si>
  <si>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</si>
  <si>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</si>
  <si>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</si>
  <si>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</si>
  <si>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</si>
  <si>
    <t xml:space="preserve"> </t>
  </si>
  <si>
    <t>Bank reconciliation – pro forma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</si>
  <si>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2019”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</si>
  <si>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County area (local councils and parish meetings only): </t>
  </si>
  <si>
    <t xml:space="preserve">Cheshire </t>
  </si>
  <si>
    <t>Financial year ending 31 March 2019</t>
  </si>
  <si>
    <t>Prepared by (Name and Role):</t>
  </si>
  <si>
    <t>Lyndsey Sandison Parish Clerk and Responsible Finance Officer</t>
  </si>
  <si>
    <t>Date:</t>
  </si>
  <si>
    <t>Balance per bank statements as at 31/3/21:</t>
  </si>
  <si>
    <t>Community Directplus Account</t>
  </si>
  <si>
    <t>Business Select Instant Access Account</t>
  </si>
  <si>
    <t>Petty cash float (if applicable)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</si>
  <si>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</si>
  <si>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31/3/21</t>
  </si>
  <si>
    <t>NIL</t>
  </si>
  <si>
    <t>Net balances as at 31/3/21 (Box 8)</t>
  </si>
  <si>
    <t xml:space="preserve">LOSTOCK GRALAM PARISH COUNCIL  </t>
  </si>
  <si>
    <t xml:space="preserve"> Budget 2020-21</t>
  </si>
  <si>
    <t>EXPENDITURE HEAD</t>
  </si>
  <si>
    <t>Budget</t>
  </si>
  <si>
    <t>Actual</t>
  </si>
  <si>
    <t xml:space="preserve">Remaining </t>
  </si>
  <si>
    <t>2020-21</t>
  </si>
  <si>
    <t>Exp</t>
  </si>
  <si>
    <t>of Budget</t>
  </si>
  <si>
    <t>STAFF COSTS</t>
  </si>
  <si>
    <t>Payroll Costs - Net Pay</t>
  </si>
  <si>
    <t>NI</t>
  </si>
  <si>
    <t>Pension Contribution</t>
  </si>
  <si>
    <t>A3</t>
  </si>
  <si>
    <t>TOTAL STAFF COSTS</t>
  </si>
  <si>
    <t>Telephone</t>
  </si>
  <si>
    <t>Stationery + printing</t>
  </si>
  <si>
    <t>Postage</t>
  </si>
  <si>
    <t>Meeting Room Hire</t>
  </si>
  <si>
    <t>PO BOX Address</t>
  </si>
  <si>
    <t>Parish Newsletter</t>
  </si>
  <si>
    <t>Website/IT</t>
  </si>
  <si>
    <t>Travelling Expenses</t>
  </si>
  <si>
    <t>Chairman's Allowance</t>
  </si>
  <si>
    <t>Training &amp; Seminars</t>
  </si>
  <si>
    <t>Legal  and other Fees</t>
  </si>
  <si>
    <t>Audit Fees</t>
  </si>
  <si>
    <t>Insurance</t>
  </si>
  <si>
    <t>Payroll Services</t>
  </si>
  <si>
    <t>Election Fees</t>
  </si>
  <si>
    <t>B19</t>
  </si>
  <si>
    <t>ICO fee</t>
  </si>
  <si>
    <t>TOTAL ADMINISTRATION COSTS</t>
  </si>
  <si>
    <t>PARK &amp; OPEN SPACES</t>
  </si>
  <si>
    <t>Flower Planters &amp; Public Benches</t>
  </si>
  <si>
    <t>Grass cutting</t>
  </si>
  <si>
    <t>Litter pick</t>
  </si>
  <si>
    <t>Play Inspections</t>
  </si>
  <si>
    <t>Repairs and Maintenance</t>
  </si>
  <si>
    <t>TOTAL PARK &amp; OPEN SPACES</t>
  </si>
  <si>
    <t>CHURCHYARD</t>
  </si>
  <si>
    <t>Bin Hire and emptying</t>
  </si>
  <si>
    <t>TOTAL CHURCHYARD</t>
  </si>
  <si>
    <t>SUBSCRIPTIONS</t>
  </si>
  <si>
    <t>ChALC</t>
  </si>
  <si>
    <t>Mid Cheshire Footpath Society</t>
  </si>
  <si>
    <t>E2</t>
  </si>
  <si>
    <t xml:space="preserve"> Community Community Action</t>
  </si>
  <si>
    <t>E3</t>
  </si>
  <si>
    <t>MCRUA</t>
  </si>
  <si>
    <t>E4</t>
  </si>
  <si>
    <t>E5</t>
  </si>
  <si>
    <t>TOTAL SUBSCRIPTIONS</t>
  </si>
  <si>
    <t xml:space="preserve">SECTION 137 DONATIONS </t>
  </si>
  <si>
    <t>S.137 Grant and donation requests</t>
  </si>
  <si>
    <t>Church Yard Grant</t>
  </si>
  <si>
    <t>TOTAL S137 GRANTS AND DONATIONS</t>
  </si>
  <si>
    <t>OTHER</t>
  </si>
  <si>
    <t>Christmas Tree</t>
  </si>
  <si>
    <t>Festive Light Electricity</t>
  </si>
  <si>
    <t>Community Events - Light switch on  &amp; Fetes</t>
  </si>
  <si>
    <t>TOTAL OTHER COST</t>
  </si>
  <si>
    <t>CONTINGENCY</t>
  </si>
  <si>
    <t>Contingency</t>
  </si>
  <si>
    <t>TOTAL CONTINGENCY</t>
  </si>
  <si>
    <t xml:space="preserve">BUDGET (PRECEPT FOR THIS YEAR) TOTAL </t>
  </si>
  <si>
    <t>RESERVE FUNDS</t>
  </si>
  <si>
    <t>Football Pitch Renovation</t>
  </si>
  <si>
    <t>Pedestrian Crossing (NHB)</t>
  </si>
  <si>
    <t>I2</t>
  </si>
  <si>
    <t>EARMARKED RESERVE FUNDS TOTAL</t>
  </si>
  <si>
    <t>GENERAL RESERVES</t>
  </si>
  <si>
    <t xml:space="preserve">CAPITAL </t>
  </si>
  <si>
    <t>CAPITAL PROJECTS</t>
  </si>
  <si>
    <t>TOTAL  CAPITAL PROJECTS</t>
  </si>
  <si>
    <t>EARMARKED + RESERVE FUNDS</t>
  </si>
  <si>
    <t xml:space="preserve">Total Payments in Current Financial Year </t>
  </si>
  <si>
    <t>Net</t>
  </si>
  <si>
    <t xml:space="preserve">Bank Reconciliation </t>
  </si>
  <si>
    <t>Summary</t>
  </si>
  <si>
    <t>Current Account</t>
  </si>
  <si>
    <t>B/f</t>
  </si>
  <si>
    <t>Deposit Account</t>
  </si>
  <si>
    <t>Payments</t>
  </si>
  <si>
    <t xml:space="preserve">Uncleared Cheques </t>
  </si>
  <si>
    <t>Receipts</t>
  </si>
  <si>
    <t>As at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</si>
</sst>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3" formatCode="_-* #,##0.00_-;\-* #,##0.00_-;_-* &quot;-&quot;??_-;_-@_-"/>
    <numFmt numFmtId="164" formatCode="[$-F800]dddd\,\ mmmm\ dd\,\ yyyy"/>
    <numFmt numFmtId="165" formatCode="[$-809]dd\ mmmm\ yyyy;@"/>
    <numFmt numFmtId="167" formatCode="_-* #,##0.0_-;\-* #,##0.0_-;_-* &quot;-&quot;??_-;_-@_-"/>
    <numFmt numFmtId="168" formatCode="#,##0.00;\(#,##0.00\)"/>
    <numFmt numFmtId="169" formatCode="#,##0.00_ ;\(#,##0.00\);_-* &quot;-&quot;??_-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Symbol"/>
      <family val="1"/>
      <charset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2"/>
      <color rgb="FF333333"/>
      <name val="Times New Roman"/>
      <family val="1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indexed="1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8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left"/>
      <protection locked="0"/>
    </xf>
    <xf numFmtId="2" fontId="6" fillId="0" borderId="5" xfId="0" applyNumberFormat="1" applyFont="1" applyBorder="1" applyAlignment="1" applyProtection="1">
      <alignment horizontal="left"/>
      <protection locked="0"/>
    </xf>
    <xf numFmtId="2" fontId="6" fillId="0" borderId="6" xfId="0" applyNumberFormat="1" applyFont="1" applyBorder="1" applyAlignment="1" applyProtection="1">
      <alignment horizontal="left"/>
      <protection locked="0"/>
    </xf>
    <xf numFmtId="2" fontId="6" fillId="3" borderId="7" xfId="0" applyNumberFormat="1" applyFont="1" applyFill="1" applyBorder="1" applyAlignment="1" applyProtection="1">
      <alignment horizontal="left"/>
      <protection locked="0"/>
    </xf>
    <xf numFmtId="2" fontId="6" fillId="2" borderId="8" xfId="0" applyNumberFormat="1" applyFont="1" applyFill="1" applyBorder="1" applyAlignment="1" applyProtection="1">
      <alignment horizontal="left"/>
      <protection locked="0"/>
    </xf>
    <xf numFmtId="2" fontId="6" fillId="0" borderId="9" xfId="0" applyNumberFormat="1" applyFont="1" applyBorder="1" applyAlignment="1" applyProtection="1">
      <alignment horizontal="left"/>
      <protection locked="0"/>
    </xf>
    <xf numFmtId="2" fontId="6" fillId="3" borderId="10" xfId="0" applyNumberFormat="1" applyFont="1" applyFill="1" applyBorder="1" applyAlignment="1" applyProtection="1">
      <alignment horizontal="left"/>
      <protection locked="0"/>
    </xf>
    <xf numFmtId="2" fontId="6" fillId="0" borderId="11" xfId="0" applyNumberFormat="1" applyFont="1" applyBorder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0" fontId="6" fillId="3" borderId="0" xfId="0" applyFont="1" applyFill="1" applyAlignment="1" applyProtection="1">
      <alignment horizontal="left"/>
      <protection locked="0"/>
    </xf>
    <xf numFmtId="2" fontId="6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6" fillId="4" borderId="12" xfId="0" applyFont="1" applyFill="1" applyBorder="1" applyAlignment="1" applyProtection="1">
      <alignment horizontal="left"/>
      <protection locked="0"/>
    </xf>
    <xf numFmtId="0" fontId="6" fillId="4" borderId="13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7" fillId="4" borderId="13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 wrapText="1"/>
      <protection locked="0"/>
    </xf>
    <xf numFmtId="0" fontId="6" fillId="4" borderId="14" xfId="0" applyFont="1" applyFill="1" applyBorder="1" applyAlignment="1" applyProtection="1">
      <alignment horizontal="center"/>
      <protection locked="0"/>
    </xf>
    <xf numFmtId="0" fontId="6" fillId="4" borderId="15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left"/>
      <protection locked="0"/>
    </xf>
    <xf numFmtId="0" fontId="6" fillId="4" borderId="15" xfId="0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 applyProtection="1">
      <alignment horizontal="left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6" fillId="4" borderId="16" xfId="0" applyFont="1" applyFill="1" applyBorder="1" applyAlignment="1" applyProtection="1">
      <alignment horizontal="center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0" fontId="6" fillId="4" borderId="18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left"/>
      <protection locked="0"/>
    </xf>
    <xf numFmtId="0" fontId="6" fillId="4" borderId="19" xfId="0" applyFont="1" applyFill="1" applyBorder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6" fillId="4" borderId="20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164" fontId="8" fillId="0" borderId="14" xfId="0" applyNumberFormat="1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8" fillId="0" borderId="14" xfId="0" applyFont="1" applyBorder="1" applyProtection="1">
      <protection locked="0"/>
    </xf>
    <xf numFmtId="4" fontId="8" fillId="3" borderId="14" xfId="0" applyNumberFormat="1" applyFont="1" applyFill="1" applyBorder="1" applyAlignment="1" applyProtection="1">
      <alignment horizontal="left"/>
      <protection locked="0"/>
    </xf>
    <xf numFmtId="4" fontId="8" fillId="0" borderId="21" xfId="0" applyNumberFormat="1" applyFont="1" applyBorder="1" applyAlignment="1" applyProtection="1">
      <alignment horizontal="left"/>
      <protection locked="0"/>
    </xf>
    <xf numFmtId="4" fontId="8" fillId="0" borderId="22" xfId="0" applyNumberFormat="1" applyFont="1" applyBorder="1" applyAlignment="1">
      <alignment horizontal="right"/>
    </xf>
    <xf numFmtId="0" fontId="8" fillId="0" borderId="23" xfId="0" applyFont="1" applyBorder="1" applyAlignment="1" applyProtection="1">
      <alignment horizontal="center"/>
      <protection locked="0"/>
    </xf>
    <xf numFmtId="8" fontId="9" fillId="0" borderId="0" xfId="0" applyNumberFormat="1" applyFont="1" applyAlignment="1">
      <alignment horizontal="right" vertical="center"/>
    </xf>
    <xf numFmtId="39" fontId="8" fillId="0" borderId="14" xfId="0" applyNumberFormat="1" applyFont="1" applyBorder="1" applyProtection="1">
      <protection locked="0"/>
    </xf>
    <xf numFmtId="0" fontId="8" fillId="3" borderId="18" xfId="0" applyFont="1" applyFill="1" applyBorder="1" applyAlignment="1" applyProtection="1">
      <alignment horizontal="center"/>
      <protection locked="0"/>
    </xf>
    <xf numFmtId="0" fontId="8" fillId="3" borderId="24" xfId="0" applyFont="1" applyFill="1" applyBorder="1" applyAlignment="1" applyProtection="1">
      <alignment horizontal="center"/>
      <protection locked="0"/>
    </xf>
    <xf numFmtId="8" fontId="8" fillId="3" borderId="14" xfId="0" applyNumberFormat="1" applyFont="1" applyFill="1" applyBorder="1"/>
    <xf numFmtId="0" fontId="8" fillId="3" borderId="0" xfId="0" applyFont="1" applyFill="1" applyProtection="1">
      <protection locked="0"/>
    </xf>
    <xf numFmtId="0" fontId="0" fillId="3" borderId="0" xfId="0" applyFill="1"/>
    <xf numFmtId="4" fontId="8" fillId="3" borderId="18" xfId="0" applyNumberFormat="1" applyFont="1" applyFill="1" applyBorder="1" applyAlignment="1" applyProtection="1">
      <alignment horizontal="center"/>
      <protection locked="0"/>
    </xf>
    <xf numFmtId="4" fontId="8" fillId="3" borderId="24" xfId="0" applyNumberFormat="1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Protection="1">
      <protection locked="0"/>
    </xf>
    <xf numFmtId="164" fontId="2" fillId="3" borderId="0" xfId="0" applyNumberFormat="1" applyFont="1" applyFill="1"/>
    <xf numFmtId="0" fontId="8" fillId="0" borderId="13" xfId="0" applyFont="1" applyBorder="1" applyAlignment="1" applyProtection="1">
      <alignment horizontal="center"/>
      <protection locked="0"/>
    </xf>
    <xf numFmtId="4" fontId="8" fillId="0" borderId="14" xfId="0" applyNumberFormat="1" applyFont="1" applyBorder="1" applyProtection="1">
      <protection locked="0"/>
    </xf>
    <xf numFmtId="4" fontId="8" fillId="0" borderId="2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5" xfId="2" applyFont="1" applyBorder="1"/>
    <xf numFmtId="0" fontId="8" fillId="3" borderId="14" xfId="0" applyFont="1" applyFill="1" applyBorder="1" applyProtection="1">
      <protection locked="0"/>
    </xf>
    <xf numFmtId="4" fontId="8" fillId="0" borderId="21" xfId="1" applyNumberFormat="1" applyFont="1" applyBorder="1" applyAlignment="1" applyProtection="1">
      <alignment horizontal="left"/>
      <protection locked="0"/>
    </xf>
    <xf numFmtId="4" fontId="8" fillId="0" borderId="14" xfId="0" applyNumberFormat="1" applyFont="1" applyBorder="1"/>
    <xf numFmtId="2" fontId="8" fillId="0" borderId="23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Protection="1">
      <protection locked="0"/>
    </xf>
    <xf numFmtId="0" fontId="2" fillId="0" borderId="23" xfId="0" applyFont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left"/>
      <protection locked="0"/>
    </xf>
    <xf numFmtId="4" fontId="2" fillId="0" borderId="21" xfId="1" applyNumberFormat="1" applyBorder="1" applyAlignment="1" applyProtection="1">
      <alignment horizontal="left"/>
      <protection locked="0"/>
    </xf>
    <xf numFmtId="4" fontId="0" fillId="0" borderId="22" xfId="0" applyNumberFormat="1" applyBorder="1" applyAlignment="1">
      <alignment horizontal="right"/>
    </xf>
    <xf numFmtId="2" fontId="2" fillId="0" borderId="23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Protection="1">
      <protection locked="0"/>
    </xf>
    <xf numFmtId="4" fontId="0" fillId="0" borderId="14" xfId="0" applyNumberFormat="1" applyBorder="1"/>
    <xf numFmtId="4" fontId="0" fillId="0" borderId="21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4" fontId="0" fillId="3" borderId="22" xfId="0" applyNumberFormat="1" applyFill="1" applyBorder="1" applyAlignment="1">
      <alignment horizontal="right"/>
    </xf>
    <xf numFmtId="0" fontId="0" fillId="0" borderId="14" xfId="0" applyBorder="1" applyProtection="1"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4" fontId="2" fillId="3" borderId="21" xfId="1" applyNumberFormat="1" applyFill="1" applyBorder="1" applyAlignment="1" applyProtection="1">
      <alignment horizontal="left"/>
      <protection locked="0"/>
    </xf>
    <xf numFmtId="0" fontId="0" fillId="3" borderId="23" xfId="0" applyFill="1" applyBorder="1" applyAlignment="1" applyProtection="1">
      <alignment horizontal="center"/>
      <protection locked="0"/>
    </xf>
    <xf numFmtId="39" fontId="0" fillId="3" borderId="14" xfId="0" applyNumberFormat="1" applyFill="1" applyBorder="1" applyProtection="1"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5" fontId="0" fillId="0" borderId="14" xfId="0" applyNumberForma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" fontId="2" fillId="0" borderId="14" xfId="0" applyNumberFormat="1" applyFont="1" applyBorder="1" applyProtection="1">
      <protection locked="0"/>
    </xf>
    <xf numFmtId="2" fontId="0" fillId="0" borderId="23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0" fillId="3" borderId="12" xfId="0" applyFill="1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4" fontId="10" fillId="3" borderId="12" xfId="0" quotePrefix="1" applyNumberFormat="1" applyFont="1" applyFill="1" applyBorder="1" applyAlignment="1" applyProtection="1">
      <alignment horizontal="left"/>
      <protection locked="0"/>
    </xf>
    <xf numFmtId="4" fontId="2" fillId="3" borderId="28" xfId="1" quotePrefix="1" applyNumberFormat="1" applyFill="1" applyBorder="1" applyAlignment="1" applyProtection="1">
      <alignment horizontal="left"/>
      <protection locked="0"/>
    </xf>
    <xf numFmtId="164" fontId="2" fillId="3" borderId="14" xfId="0" applyNumberFormat="1" applyFont="1" applyFill="1" applyBorder="1" applyAlignment="1" applyProtection="1">
      <alignment horizontal="center"/>
      <protection locked="0"/>
    </xf>
    <xf numFmtId="4" fontId="2" fillId="3" borderId="19" xfId="0" applyNumberFormat="1" applyFont="1" applyFill="1" applyBorder="1" applyAlignment="1" applyProtection="1">
      <alignment horizontal="center"/>
      <protection locked="0"/>
    </xf>
    <xf numFmtId="39" fontId="0" fillId="3" borderId="12" xfId="0" applyNumberFormat="1" applyFill="1" applyBorder="1" applyProtection="1">
      <protection locked="0"/>
    </xf>
    <xf numFmtId="39" fontId="0" fillId="3" borderId="12" xfId="0" quotePrefix="1" applyNumberFormat="1" applyFill="1" applyBorder="1" applyProtection="1">
      <protection locked="0"/>
    </xf>
    <xf numFmtId="4" fontId="0" fillId="3" borderId="12" xfId="0" applyNumberFormat="1" applyFill="1" applyBorder="1" applyProtection="1">
      <protection locked="0"/>
    </xf>
    <xf numFmtId="4" fontId="0" fillId="3" borderId="28" xfId="0" applyNumberFormat="1" applyFill="1" applyBorder="1" applyProtection="1">
      <protection locked="0"/>
    </xf>
    <xf numFmtId="0" fontId="0" fillId="3" borderId="0" xfId="0" applyFill="1" applyProtection="1">
      <protection locked="0"/>
    </xf>
    <xf numFmtId="0" fontId="0" fillId="0" borderId="29" xfId="0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left"/>
      <protection locked="0"/>
    </xf>
    <xf numFmtId="4" fontId="0" fillId="0" borderId="29" xfId="1" applyNumberFormat="1" applyFont="1" applyBorder="1" applyAlignment="1">
      <alignment horizontal="left"/>
    </xf>
    <xf numFmtId="4" fontId="0" fillId="0" borderId="30" xfId="1" applyNumberFormat="1" applyFont="1" applyBorder="1" applyAlignment="1">
      <alignment horizontal="left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locked="0"/>
    </xf>
    <xf numFmtId="43" fontId="0" fillId="0" borderId="18" xfId="1" applyFont="1" applyBorder="1" applyAlignment="1" applyProtection="1">
      <alignment horizontal="left"/>
      <protection locked="0"/>
    </xf>
    <xf numFmtId="43" fontId="0" fillId="0" borderId="24" xfId="1" applyFont="1" applyBorder="1" applyAlignment="1" applyProtection="1">
      <alignment horizontal="left"/>
      <protection locked="0"/>
    </xf>
    <xf numFmtId="43" fontId="0" fillId="0" borderId="31" xfId="1" applyFont="1" applyBorder="1" applyProtection="1">
      <protection locked="0"/>
    </xf>
    <xf numFmtId="2" fontId="0" fillId="0" borderId="27" xfId="0" applyNumberFormat="1" applyBorder="1" applyAlignment="1" applyProtection="1">
      <alignment horizontal="center"/>
      <protection locked="0"/>
    </xf>
    <xf numFmtId="43" fontId="0" fillId="0" borderId="18" xfId="1" applyFont="1" applyBorder="1" applyProtection="1">
      <protection locked="0"/>
    </xf>
    <xf numFmtId="43" fontId="0" fillId="0" borderId="24" xfId="1" applyFont="1" applyBorder="1" applyProtection="1">
      <protection locked="0"/>
    </xf>
    <xf numFmtId="0" fontId="6" fillId="4" borderId="32" xfId="0" applyFont="1" applyFill="1" applyBorder="1" applyAlignment="1" applyProtection="1">
      <alignment horizontal="center"/>
      <protection locked="0"/>
    </xf>
    <xf numFmtId="0" fontId="6" fillId="4" borderId="13" xfId="0" applyFont="1" applyFill="1" applyBorder="1" applyAlignment="1" applyProtection="1">
      <alignment horizontal="center"/>
      <protection locked="0"/>
    </xf>
    <xf numFmtId="0" fontId="6" fillId="4" borderId="28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16" fontId="0" fillId="4" borderId="19" xfId="0" applyNumberFormat="1" applyFill="1" applyBorder="1" applyProtection="1"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left"/>
      <protection locked="0"/>
    </xf>
    <xf numFmtId="0" fontId="0" fillId="4" borderId="19" xfId="0" applyFill="1" applyBorder="1" applyProtection="1">
      <protection locked="0"/>
    </xf>
    <xf numFmtId="2" fontId="0" fillId="4" borderId="0" xfId="0" applyNumberFormat="1" applyFill="1" applyAlignment="1" applyProtection="1">
      <alignment horizontal="left"/>
      <protection locked="0"/>
    </xf>
    <xf numFmtId="2" fontId="0" fillId="4" borderId="20" xfId="0" applyNumberFormat="1" applyFill="1" applyBorder="1" applyProtection="1">
      <protection locked="0"/>
    </xf>
    <xf numFmtId="2" fontId="0" fillId="4" borderId="0" xfId="0" applyNumberFormat="1" applyFill="1" applyAlignment="1" applyProtection="1">
      <alignment horizontal="center"/>
      <protection locked="0"/>
    </xf>
    <xf numFmtId="0" fontId="6" fillId="4" borderId="24" xfId="0" applyFont="1" applyFill="1" applyBorder="1" applyAlignment="1" applyProtection="1">
      <alignment horizontal="center"/>
      <protection locked="0"/>
    </xf>
    <xf numFmtId="4" fontId="8" fillId="3" borderId="22" xfId="0" applyNumberFormat="1" applyFont="1" applyFill="1" applyBorder="1" applyAlignment="1">
      <alignment horizontal="right"/>
    </xf>
    <xf numFmtId="4" fontId="2" fillId="3" borderId="24" xfId="0" applyNumberFormat="1" applyFont="1" applyFill="1" applyBorder="1" applyAlignment="1" applyProtection="1">
      <alignment horizontal="center"/>
      <protection locked="0"/>
    </xf>
    <xf numFmtId="165" fontId="2" fillId="0" borderId="14" xfId="0" applyNumberFormat="1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" fontId="0" fillId="0" borderId="12" xfId="0" applyNumberFormat="1" applyBorder="1" applyAlignment="1" applyProtection="1">
      <alignment horizontal="left"/>
      <protection locked="0"/>
    </xf>
    <xf numFmtId="4" fontId="0" fillId="0" borderId="28" xfId="0" applyNumberFormat="1" applyBorder="1" applyAlignment="1" applyProtection="1">
      <alignment horizontal="left"/>
      <protection locked="0"/>
    </xf>
    <xf numFmtId="4" fontId="0" fillId="3" borderId="12" xfId="0" applyNumberFormat="1" applyFill="1" applyBorder="1" applyAlignment="1" applyProtection="1">
      <alignment horizontal="left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39" fontId="0" fillId="0" borderId="14" xfId="0" applyNumberForma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4" fontId="0" fillId="0" borderId="33" xfId="0" applyNumberFormat="1" applyBorder="1" applyAlignment="1" applyProtection="1">
      <alignment horizontal="left"/>
      <protection locked="0"/>
    </xf>
    <xf numFmtId="4" fontId="0" fillId="0" borderId="21" xfId="0" applyNumberFormat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14" xfId="1" applyNumberFormat="1" applyFont="1" applyBorder="1" applyAlignment="1">
      <alignment horizontal="left"/>
    </xf>
    <xf numFmtId="43" fontId="0" fillId="0" borderId="34" xfId="1" applyFont="1" applyBorder="1" applyAlignment="1">
      <alignment horizontal="center"/>
    </xf>
    <xf numFmtId="4" fontId="0" fillId="0" borderId="29" xfId="1" applyNumberFormat="1" applyFont="1" applyBorder="1"/>
    <xf numFmtId="4" fontId="0" fillId="0" borderId="30" xfId="1" applyNumberFormat="1" applyFont="1" applyBorder="1"/>
    <xf numFmtId="0" fontId="0" fillId="0" borderId="35" xfId="0" applyBorder="1" applyProtection="1">
      <protection locked="0"/>
    </xf>
    <xf numFmtId="0" fontId="0" fillId="0" borderId="35" xfId="0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left"/>
      <protection locked="0"/>
    </xf>
    <xf numFmtId="4" fontId="0" fillId="0" borderId="35" xfId="0" applyNumberFormat="1" applyBorder="1" applyAlignment="1" applyProtection="1">
      <alignment horizontal="left"/>
      <protection locked="0"/>
    </xf>
    <xf numFmtId="4" fontId="0" fillId="0" borderId="36" xfId="0" applyNumberFormat="1" applyBorder="1" applyAlignment="1" applyProtection="1">
      <alignment horizontal="left"/>
      <protection locked="0"/>
    </xf>
    <xf numFmtId="4" fontId="0" fillId="0" borderId="31" xfId="0" applyNumberFormat="1" applyBorder="1" applyProtection="1">
      <protection locked="0"/>
    </xf>
    <xf numFmtId="2" fontId="0" fillId="0" borderId="37" xfId="0" applyNumberFormat="1" applyBorder="1" applyAlignment="1" applyProtection="1">
      <alignment horizontal="center"/>
      <protection locked="0"/>
    </xf>
    <xf numFmtId="4" fontId="0" fillId="0" borderId="2" xfId="0" applyNumberFormat="1" applyBorder="1" applyProtection="1">
      <protection locked="0"/>
    </xf>
    <xf numFmtId="4" fontId="0" fillId="0" borderId="38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left"/>
      <protection locked="0"/>
    </xf>
    <xf numFmtId="4" fontId="0" fillId="0" borderId="12" xfId="1" applyNumberFormat="1" applyFont="1" applyBorder="1" applyAlignment="1">
      <alignment horizontal="left"/>
    </xf>
    <xf numFmtId="4" fontId="0" fillId="0" borderId="28" xfId="1" applyNumberFormat="1" applyFont="1" applyBorder="1" applyAlignment="1">
      <alignment horizontal="left"/>
    </xf>
    <xf numFmtId="4" fontId="0" fillId="0" borderId="32" xfId="0" applyNumberFormat="1" applyBorder="1" applyAlignment="1">
      <alignment horizontal="right"/>
    </xf>
    <xf numFmtId="2" fontId="0" fillId="0" borderId="5" xfId="0" applyNumberFormat="1" applyBorder="1" applyAlignment="1">
      <alignment horizontal="center"/>
    </xf>
    <xf numFmtId="4" fontId="0" fillId="0" borderId="12" xfId="1" applyNumberFormat="1" applyFont="1" applyBorder="1"/>
    <xf numFmtId="4" fontId="0" fillId="0" borderId="28" xfId="1" applyNumberFormat="1" applyFont="1" applyBorder="1"/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35" xfId="0" applyFont="1" applyFill="1" applyBorder="1" applyAlignment="1" applyProtection="1">
      <alignment horizontal="center"/>
      <protection locked="0"/>
    </xf>
    <xf numFmtId="0" fontId="2" fillId="4" borderId="35" xfId="0" applyFont="1" applyFill="1" applyBorder="1" applyAlignment="1" applyProtection="1">
      <alignment horizontal="left"/>
      <protection locked="0"/>
    </xf>
    <xf numFmtId="0" fontId="6" fillId="4" borderId="35" xfId="0" applyFont="1" applyFill="1" applyBorder="1" applyAlignment="1" applyProtection="1">
      <alignment horizontal="left"/>
      <protection locked="0"/>
    </xf>
    <xf numFmtId="0" fontId="6" fillId="4" borderId="39" xfId="0" applyFont="1" applyFill="1" applyBorder="1" applyAlignment="1" applyProtection="1">
      <alignment horizontal="left"/>
      <protection locked="0"/>
    </xf>
    <xf numFmtId="0" fontId="7" fillId="4" borderId="39" xfId="0" applyFont="1" applyFill="1" applyBorder="1" applyAlignment="1" applyProtection="1">
      <alignment horizontal="center"/>
      <protection locked="0"/>
    </xf>
    <xf numFmtId="0" fontId="6" fillId="4" borderId="36" xfId="0" applyFont="1" applyFill="1" applyBorder="1" applyAlignment="1" applyProtection="1">
      <alignment horizontal="center"/>
      <protection locked="0"/>
    </xf>
    <xf numFmtId="0" fontId="6" fillId="5" borderId="40" xfId="0" applyFont="1" applyFill="1" applyBorder="1" applyAlignment="1" applyProtection="1">
      <alignment horizontal="center"/>
      <protection locked="0"/>
    </xf>
    <xf numFmtId="0" fontId="6" fillId="5" borderId="15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left"/>
      <protection locked="0"/>
    </xf>
    <xf numFmtId="0" fontId="6" fillId="5" borderId="15" xfId="0" applyFont="1" applyFill="1" applyBorder="1" applyAlignment="1" applyProtection="1">
      <alignment horizontal="left"/>
      <protection locked="0"/>
    </xf>
    <xf numFmtId="0" fontId="6" fillId="5" borderId="16" xfId="0" applyFont="1" applyFill="1" applyBorder="1" applyAlignment="1" applyProtection="1">
      <alignment horizontal="left"/>
      <protection locked="0"/>
    </xf>
    <xf numFmtId="0" fontId="6" fillId="5" borderId="17" xfId="0" applyFont="1" applyFill="1" applyBorder="1" applyAlignment="1" applyProtection="1">
      <alignment horizontal="center"/>
      <protection locked="0"/>
    </xf>
    <xf numFmtId="0" fontId="6" fillId="5" borderId="16" xfId="0" applyFont="1" applyFill="1" applyBorder="1" applyAlignment="1" applyProtection="1">
      <alignment horizontal="center"/>
      <protection locked="0"/>
    </xf>
    <xf numFmtId="0" fontId="6" fillId="5" borderId="11" xfId="0" applyFont="1" applyFill="1" applyBorder="1" applyAlignment="1" applyProtection="1">
      <alignment horizontal="center"/>
      <protection locked="0"/>
    </xf>
    <xf numFmtId="0" fontId="2" fillId="0" borderId="18" xfId="0" applyFont="1" applyBorder="1" applyProtection="1">
      <protection locked="0"/>
    </xf>
    <xf numFmtId="2" fontId="6" fillId="0" borderId="18" xfId="0" applyNumberFormat="1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4" fontId="2" fillId="3" borderId="14" xfId="0" applyNumberFormat="1" applyFont="1" applyFill="1" applyBorder="1" applyAlignment="1" applyProtection="1">
      <alignment horizontal="left"/>
      <protection locked="0"/>
    </xf>
    <xf numFmtId="4" fontId="2" fillId="0" borderId="18" xfId="0" applyNumberFormat="1" applyFont="1" applyBorder="1" applyAlignment="1" applyProtection="1">
      <alignment horizontal="center"/>
      <protection locked="0"/>
    </xf>
    <xf numFmtId="4" fontId="10" fillId="3" borderId="14" xfId="0" applyNumberFormat="1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 applyProtection="1">
      <alignment horizontal="center"/>
      <protection locked="0"/>
    </xf>
    <xf numFmtId="4" fontId="11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164" fontId="2" fillId="3" borderId="26" xfId="0" applyNumberFormat="1" applyFont="1" applyFill="1" applyBorder="1" applyAlignment="1" applyProtection="1">
      <alignment horizontal="center"/>
      <protection locked="0"/>
    </xf>
    <xf numFmtId="4" fontId="2" fillId="3" borderId="21" xfId="0" applyNumberFormat="1" applyFont="1" applyFill="1" applyBorder="1" applyAlignment="1" applyProtection="1">
      <alignment horizontal="left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4" xfId="0" applyFont="1" applyBorder="1"/>
    <xf numFmtId="0" fontId="0" fillId="0" borderId="13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3" borderId="21" xfId="0" applyNumberFormat="1" applyFill="1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center"/>
      <protection locked="0"/>
    </xf>
    <xf numFmtId="4" fontId="10" fillId="3" borderId="12" xfId="0" applyNumberFormat="1" applyFont="1" applyFill="1" applyBorder="1" applyAlignment="1" applyProtection="1">
      <alignment horizontal="left"/>
      <protection locked="0"/>
    </xf>
    <xf numFmtId="164" fontId="2" fillId="3" borderId="0" xfId="0" applyNumberFormat="1" applyFont="1" applyFill="1" applyAlignment="1" applyProtection="1">
      <alignment horizontal="center"/>
      <protection locked="0"/>
    </xf>
    <xf numFmtId="4" fontId="8" fillId="3" borderId="21" xfId="1" applyNumberFormat="1" applyFont="1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4" xfId="0" applyBorder="1"/>
    <xf numFmtId="4" fontId="0" fillId="3" borderId="29" xfId="1" applyNumberFormat="1" applyFont="1" applyFill="1" applyBorder="1" applyAlignment="1">
      <alignment horizontal="left"/>
    </xf>
    <xf numFmtId="43" fontId="0" fillId="0" borderId="41" xfId="1" applyFont="1" applyBorder="1" applyAlignment="1">
      <alignment horizontal="center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left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4" fontId="0" fillId="0" borderId="42" xfId="0" applyNumberFormat="1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4" fontId="0" fillId="0" borderId="35" xfId="0" applyNumberFormat="1" applyBorder="1" applyProtection="1">
      <protection locked="0"/>
    </xf>
    <xf numFmtId="4" fontId="0" fillId="0" borderId="36" xfId="0" applyNumberFormat="1" applyBorder="1" applyProtection="1">
      <protection locked="0"/>
    </xf>
    <xf numFmtId="0" fontId="0" fillId="0" borderId="44" xfId="0" applyBorder="1" applyProtection="1">
      <protection locked="0"/>
    </xf>
    <xf numFmtId="0" fontId="0" fillId="0" borderId="44" xfId="0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left"/>
      <protection locked="0"/>
    </xf>
    <xf numFmtId="4" fontId="0" fillId="0" borderId="44" xfId="1" applyNumberFormat="1" applyFont="1" applyBorder="1" applyAlignment="1">
      <alignment horizontal="left"/>
    </xf>
    <xf numFmtId="4" fontId="0" fillId="0" borderId="45" xfId="1" applyNumberFormat="1" applyFont="1" applyBorder="1" applyAlignment="1">
      <alignment horizontal="left"/>
    </xf>
    <xf numFmtId="4" fontId="0" fillId="0" borderId="46" xfId="0" applyNumberFormat="1" applyBorder="1" applyAlignment="1">
      <alignment horizontal="right"/>
    </xf>
    <xf numFmtId="2" fontId="0" fillId="0" borderId="47" xfId="0" applyNumberFormat="1" applyBorder="1" applyAlignment="1">
      <alignment horizontal="center"/>
    </xf>
    <xf numFmtId="4" fontId="0" fillId="0" borderId="44" xfId="1" applyNumberFormat="1" applyFont="1" applyBorder="1"/>
    <xf numFmtId="4" fontId="0" fillId="0" borderId="45" xfId="1" applyNumberFormat="1" applyFont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20" xfId="0" applyFill="1" applyBorder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4" fontId="8" fillId="3" borderId="21" xfId="0" applyNumberFormat="1" applyFont="1" applyFill="1" applyBorder="1" applyAlignment="1" applyProtection="1">
      <alignment horizontal="left"/>
      <protection locked="0"/>
    </xf>
    <xf numFmtId="39" fontId="0" fillId="0" borderId="21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3" borderId="14" xfId="0" applyNumberFormat="1" applyFill="1" applyBorder="1" applyProtection="1">
      <protection locked="0"/>
    </xf>
    <xf numFmtId="4" fontId="2" fillId="3" borderId="14" xfId="1" applyNumberFormat="1" applyFill="1" applyBorder="1" applyProtection="1">
      <protection locked="0"/>
    </xf>
    <xf numFmtId="4" fontId="2" fillId="0" borderId="14" xfId="1" applyNumberFormat="1" applyBorder="1" applyProtection="1">
      <protection locked="0"/>
    </xf>
    <xf numFmtId="2" fontId="2" fillId="3" borderId="23" xfId="0" applyNumberFormat="1" applyFont="1" applyFill="1" applyBorder="1" applyAlignment="1" applyProtection="1">
      <alignment horizontal="center"/>
      <protection locked="0"/>
    </xf>
    <xf numFmtId="0" fontId="2" fillId="3" borderId="23" xfId="0" applyFon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left"/>
      <protection locked="0"/>
    </xf>
    <xf numFmtId="165" fontId="0" fillId="3" borderId="14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left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8" fillId="6" borderId="14" xfId="0" applyNumberFormat="1" applyFont="1" applyFill="1" applyBorder="1" applyAlignment="1" applyProtection="1">
      <alignment horizontal="left"/>
      <protection locked="0"/>
    </xf>
    <xf numFmtId="0" fontId="2" fillId="3" borderId="14" xfId="0" applyFont="1" applyFill="1" applyBorder="1" applyProtection="1">
      <protection locked="0"/>
    </xf>
    <xf numFmtId="0" fontId="8" fillId="3" borderId="23" xfId="0" applyFont="1" applyFill="1" applyBorder="1" applyAlignment="1" applyProtection="1">
      <alignment horizontal="center"/>
      <protection locked="0"/>
    </xf>
    <xf numFmtId="2" fontId="8" fillId="3" borderId="23" xfId="0" applyNumberFormat="1" applyFont="1" applyFill="1" applyBorder="1" applyAlignment="1" applyProtection="1">
      <alignment horizontal="center"/>
      <protection locked="0"/>
    </xf>
    <xf numFmtId="4" fontId="8" fillId="3" borderId="14" xfId="0" applyNumberFormat="1" applyFont="1" applyFill="1" applyBorder="1" applyProtection="1">
      <protection locked="0"/>
    </xf>
    <xf numFmtId="4" fontId="11" fillId="3" borderId="14" xfId="0" applyNumberFormat="1" applyFont="1" applyFill="1" applyBorder="1" applyAlignment="1" applyProtection="1">
      <alignment horizontal="center"/>
      <protection locked="0"/>
    </xf>
    <xf numFmtId="4" fontId="0" fillId="6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26" xfId="0" applyFill="1" applyBorder="1" applyAlignment="1" applyProtection="1">
      <alignment horizontal="center"/>
      <protection locked="0"/>
    </xf>
    <xf numFmtId="39" fontId="0" fillId="0" borderId="12" xfId="0" applyNumberFormat="1" applyBorder="1" applyProtection="1">
      <protection locked="0"/>
    </xf>
    <xf numFmtId="39" fontId="0" fillId="0" borderId="28" xfId="0" applyNumberFormat="1" applyBorder="1" applyProtection="1"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4" fontId="0" fillId="3" borderId="7" xfId="0" applyNumberFormat="1" applyFill="1" applyBorder="1" applyAlignment="1">
      <alignment horizontal="right"/>
    </xf>
    <xf numFmtId="2" fontId="0" fillId="3" borderId="14" xfId="0" applyNumberFormat="1" applyFill="1" applyBorder="1" applyAlignment="1" applyProtection="1">
      <alignment horizontal="center"/>
      <protection locked="0"/>
    </xf>
    <xf numFmtId="4" fontId="2" fillId="0" borderId="28" xfId="1" applyNumberFormat="1" applyBorder="1" applyAlignment="1" applyProtection="1">
      <alignment horizontal="left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4" fontId="0" fillId="0" borderId="29" xfId="0" applyNumberFormat="1" applyBorder="1" applyAlignment="1">
      <alignment horizontal="left"/>
    </xf>
    <xf numFmtId="4" fontId="0" fillId="0" borderId="30" xfId="0" applyNumberFormat="1" applyBorder="1" applyAlignment="1">
      <alignment horizontal="left"/>
    </xf>
    <xf numFmtId="4" fontId="0" fillId="0" borderId="48" xfId="0" applyNumberFormat="1" applyBorder="1" applyAlignment="1">
      <alignment horizontal="left"/>
    </xf>
    <xf numFmtId="39" fontId="0" fillId="0" borderId="29" xfId="0" applyNumberFormat="1" applyBorder="1"/>
    <xf numFmtId="39" fontId="0" fillId="0" borderId="30" xfId="0" applyNumberFormat="1" applyBorder="1"/>
    <xf numFmtId="4" fontId="0" fillId="0" borderId="47" xfId="1" applyNumberFormat="1" applyFont="1" applyBorder="1" applyAlignment="1">
      <alignment horizontal="center"/>
    </xf>
    <xf numFmtId="0" fontId="6" fillId="4" borderId="28" xfId="0" applyFont="1" applyFill="1" applyBorder="1" applyAlignment="1" applyProtection="1">
      <alignment horizontal="left"/>
      <protection locked="0"/>
    </xf>
    <xf numFmtId="0" fontId="6" fillId="4" borderId="49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left"/>
      <protection locked="0"/>
    </xf>
    <xf numFmtId="0" fontId="6" fillId="4" borderId="50" xfId="0" applyFont="1" applyFill="1" applyBorder="1" applyAlignment="1" applyProtection="1">
      <alignment horizontal="center"/>
      <protection locked="0"/>
    </xf>
    <xf numFmtId="0" fontId="6" fillId="4" borderId="51" xfId="0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49" xfId="0" applyBorder="1" applyProtection="1">
      <protection locked="0"/>
    </xf>
    <xf numFmtId="0" fontId="0" fillId="0" borderId="33" xfId="0" applyBorder="1" applyProtection="1">
      <protection locked="0"/>
    </xf>
    <xf numFmtId="0" fontId="12" fillId="0" borderId="44" xfId="0" applyFont="1" applyBorder="1" applyProtection="1">
      <protection locked="0"/>
    </xf>
    <xf numFmtId="4" fontId="12" fillId="0" borderId="44" xfId="1" applyNumberFormat="1" applyFont="1" applyBorder="1" applyAlignment="1">
      <alignment horizontal="left"/>
    </xf>
    <xf numFmtId="0" fontId="0" fillId="0" borderId="47" xfId="0" applyBorder="1" applyAlignment="1">
      <alignment horizontal="center"/>
    </xf>
    <xf numFmtId="4" fontId="12" fillId="0" borderId="44" xfId="1" applyNumberFormat="1" applyFont="1" applyBorder="1"/>
    <xf numFmtId="4" fontId="12" fillId="0" borderId="45" xfId="1" applyNumberFormat="1" applyFont="1" applyBorder="1"/>
    <xf numFmtId="4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3" fillId="0" borderId="0" xfId="2" applyFont="1" applyAlignment="1">
      <alignment vertical="top"/>
    </xf>
    <xf numFmtId="0" fontId="14" fillId="0" borderId="0" xfId="2" applyFont="1" applyAlignment="1">
      <alignment wrapText="1"/>
    </xf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/>
    </xf>
    <xf numFmtId="3" fontId="12" fillId="3" borderId="0" xfId="2" applyNumberFormat="1" applyFont="1" applyFill="1" applyAlignment="1" applyProtection="1">
      <alignment horizontal="center"/>
      <protection locked="0"/>
    </xf>
    <xf numFmtId="0" fontId="14" fillId="3" borderId="0" xfId="2" applyFont="1" applyFill="1"/>
    <xf numFmtId="0" fontId="17" fillId="0" borderId="0" xfId="2" applyFont="1"/>
    <xf numFmtId="0" fontId="19" fillId="0" borderId="0" xfId="2" applyFont="1" applyAlignment="1">
      <alignment horizontal="left" vertical="center" wrapText="1"/>
    </xf>
    <xf numFmtId="0" fontId="19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 indent="2"/>
    </xf>
    <xf numFmtId="0" fontId="14" fillId="0" borderId="0" xfId="2" applyFont="1" applyAlignment="1">
      <alignment horizontal="center"/>
    </xf>
    <xf numFmtId="0" fontId="22" fillId="0" borderId="0" xfId="2" applyFont="1"/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center" wrapText="1"/>
    </xf>
    <xf numFmtId="0" fontId="14" fillId="7" borderId="14" xfId="2" applyFont="1" applyFill="1" applyBorder="1" applyAlignment="1">
      <alignment wrapText="1"/>
    </xf>
    <xf numFmtId="0" fontId="22" fillId="0" borderId="14" xfId="2" applyFont="1" applyBorder="1" applyAlignment="1">
      <alignment wrapText="1"/>
    </xf>
    <xf numFmtId="3" fontId="12" fillId="8" borderId="8" xfId="2" applyNumberFormat="1" applyFont="1" applyFill="1" applyBorder="1" applyAlignment="1" applyProtection="1">
      <alignment horizontal="center"/>
      <protection locked="0"/>
    </xf>
    <xf numFmtId="3" fontId="14" fillId="0" borderId="0" xfId="2" applyNumberFormat="1" applyFont="1"/>
    <xf numFmtId="10" fontId="14" fillId="0" borderId="0" xfId="2" applyNumberFormat="1" applyFont="1"/>
    <xf numFmtId="0" fontId="14" fillId="0" borderId="14" xfId="2" applyFont="1" applyBorder="1" applyAlignment="1">
      <alignment wrapTex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wrapText="1"/>
    </xf>
    <xf numFmtId="0" fontId="14" fillId="0" borderId="52" xfId="2" applyFont="1" applyBorder="1" applyAlignment="1">
      <alignment wrapText="1"/>
    </xf>
    <xf numFmtId="0" fontId="14" fillId="0" borderId="0" xfId="2" applyFont="1" applyAlignment="1">
      <alignment vertical="center"/>
    </xf>
    <xf numFmtId="0" fontId="14" fillId="7" borderId="14" xfId="2" quotePrefix="1" applyFont="1" applyFill="1" applyBorder="1" applyAlignment="1">
      <alignment horizontal="left" wrapText="1"/>
    </xf>
    <xf numFmtId="0" fontId="14" fillId="0" borderId="14" xfId="2" quotePrefix="1" applyFont="1" applyBorder="1" applyAlignment="1">
      <alignment wrapText="1"/>
    </xf>
    <xf numFmtId="0" fontId="14" fillId="0" borderId="0" xfId="2" applyFont="1" applyAlignment="1">
      <alignment vertical="center"/>
    </xf>
    <xf numFmtId="3" fontId="12" fillId="9" borderId="8" xfId="2" applyNumberFormat="1" applyFont="1" applyFill="1" applyBorder="1" applyAlignment="1" applyProtection="1">
      <alignment horizontal="center"/>
      <protection locked="0"/>
    </xf>
    <xf numFmtId="0" fontId="14" fillId="10" borderId="14" xfId="2" applyFont="1" applyFill="1" applyBorder="1" applyAlignment="1">
      <alignment wrapText="1"/>
    </xf>
    <xf numFmtId="3" fontId="12" fillId="0" borderId="0" xfId="2" applyNumberFormat="1" applyFont="1" applyAlignment="1" applyProtection="1">
      <alignment horizontal="center"/>
      <protection locked="0"/>
    </xf>
    <xf numFmtId="0" fontId="14" fillId="0" borderId="0" xfId="2" applyFont="1" applyAlignment="1">
      <alignment horizontal="center" wrapText="1"/>
    </xf>
    <xf numFmtId="0" fontId="22" fillId="11" borderId="14" xfId="2" applyFont="1" applyFill="1" applyBorder="1" applyAlignment="1">
      <alignment horizontal="center" wrapText="1"/>
    </xf>
    <xf numFmtId="0" fontId="25" fillId="0" borderId="0" xfId="2" applyFont="1"/>
    <xf numFmtId="0" fontId="14" fillId="0" borderId="0" xfId="2" applyFont="1" applyAlignment="1">
      <alignment horizontal="left" vertical="top" wrapText="1"/>
    </xf>
    <xf numFmtId="0" fontId="26" fillId="0" borderId="0" xfId="2" applyFont="1" applyAlignment="1">
      <alignment horizontal="left" vertical="center"/>
    </xf>
    <xf numFmtId="0" fontId="27" fillId="0" borderId="0" xfId="2" applyFont="1"/>
    <xf numFmtId="167" fontId="27" fillId="0" borderId="0" xfId="3" applyNumberFormat="1" applyFont="1" applyAlignment="1">
      <alignment horizontal="right"/>
    </xf>
    <xf numFmtId="0" fontId="28" fillId="0" borderId="0" xfId="2" applyFont="1" applyAlignment="1">
      <alignment horizontal="left" wrapText="1"/>
    </xf>
    <xf numFmtId="0" fontId="30" fillId="0" borderId="0" xfId="2" applyFont="1"/>
    <xf numFmtId="0" fontId="28" fillId="0" borderId="0" xfId="2" applyFont="1" applyAlignment="1">
      <alignment horizontal="left" wrapText="1"/>
    </xf>
    <xf numFmtId="0" fontId="30" fillId="2" borderId="21" xfId="2" applyFont="1" applyFill="1" applyBorder="1" applyAlignment="1">
      <alignment horizontal="left" wrapText="1"/>
    </xf>
    <xf numFmtId="0" fontId="30" fillId="2" borderId="23" xfId="2" applyFont="1" applyFill="1" applyBorder="1" applyAlignment="1">
      <alignment horizontal="left" wrapText="1"/>
    </xf>
    <xf numFmtId="0" fontId="30" fillId="2" borderId="53" xfId="2" applyFont="1" applyFill="1" applyBorder="1" applyAlignment="1">
      <alignment horizontal="left" wrapText="1"/>
    </xf>
    <xf numFmtId="0" fontId="30" fillId="0" borderId="0" xfId="2" applyFont="1" applyAlignment="1">
      <alignment horizontal="left" wrapText="1"/>
    </xf>
    <xf numFmtId="167" fontId="30" fillId="0" borderId="0" xfId="3" applyNumberFormat="1" applyFont="1" applyAlignment="1">
      <alignment horizontal="right"/>
    </xf>
    <xf numFmtId="0" fontId="31" fillId="0" borderId="0" xfId="2" applyFont="1"/>
    <xf numFmtId="0" fontId="30" fillId="2" borderId="21" xfId="2" applyFont="1" applyFill="1" applyBorder="1" applyAlignment="1">
      <alignment horizontal="left"/>
    </xf>
    <xf numFmtId="0" fontId="30" fillId="2" borderId="23" xfId="2" applyFont="1" applyFill="1" applyBorder="1" applyAlignment="1">
      <alignment horizontal="left"/>
    </xf>
    <xf numFmtId="0" fontId="30" fillId="2" borderId="53" xfId="2" applyFont="1" applyFill="1" applyBorder="1" applyAlignment="1">
      <alignment horizontal="left"/>
    </xf>
    <xf numFmtId="14" fontId="30" fillId="2" borderId="0" xfId="2" applyNumberFormat="1" applyFont="1" applyFill="1"/>
    <xf numFmtId="0" fontId="32" fillId="0" borderId="0" xfId="2" applyFont="1"/>
    <xf numFmtId="167" fontId="31" fillId="0" borderId="0" xfId="3" applyNumberFormat="1" applyFont="1" applyAlignment="1">
      <alignment horizontal="right"/>
    </xf>
    <xf numFmtId="0" fontId="30" fillId="3" borderId="0" xfId="2" applyFont="1" applyFill="1"/>
    <xf numFmtId="39" fontId="30" fillId="3" borderId="0" xfId="3" applyNumberFormat="1" applyFont="1" applyFill="1"/>
    <xf numFmtId="167" fontId="30" fillId="0" borderId="0" xfId="3" applyNumberFormat="1" applyFont="1"/>
    <xf numFmtId="167" fontId="30" fillId="0" borderId="13" xfId="3" applyNumberFormat="1" applyFont="1" applyBorder="1"/>
    <xf numFmtId="39" fontId="30" fillId="0" borderId="0" xfId="3" applyNumberFormat="1" applyFont="1"/>
    <xf numFmtId="168" fontId="30" fillId="0" borderId="0" xfId="3" applyNumberFormat="1" applyFont="1"/>
    <xf numFmtId="168" fontId="30" fillId="3" borderId="0" xfId="3" applyNumberFormat="1" applyFont="1" applyFill="1"/>
    <xf numFmtId="169" fontId="30" fillId="0" borderId="0" xfId="3" applyNumberFormat="1" applyFont="1"/>
    <xf numFmtId="167" fontId="30" fillId="3" borderId="0" xfId="3" applyNumberFormat="1" applyFont="1" applyFill="1"/>
    <xf numFmtId="167" fontId="31" fillId="0" borderId="0" xfId="3" applyNumberFormat="1" applyFont="1"/>
    <xf numFmtId="39" fontId="31" fillId="0" borderId="54" xfId="3" applyNumberFormat="1" applyFont="1" applyBorder="1"/>
    <xf numFmtId="167" fontId="30" fillId="3" borderId="0" xfId="3" applyNumberFormat="1" applyFont="1" applyFill="1" applyAlignment="1">
      <alignment horizontal="right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6" fillId="12" borderId="12" xfId="2" applyFont="1" applyFill="1" applyBorder="1" applyAlignment="1">
      <alignment horizontal="left"/>
    </xf>
    <xf numFmtId="0" fontId="36" fillId="12" borderId="28" xfId="2" applyFont="1" applyFill="1" applyBorder="1" applyAlignment="1">
      <alignment horizontal="left"/>
    </xf>
    <xf numFmtId="2" fontId="36" fillId="12" borderId="12" xfId="2" applyNumberFormat="1" applyFont="1" applyFill="1" applyBorder="1" applyAlignment="1">
      <alignment horizontal="left"/>
    </xf>
    <xf numFmtId="4" fontId="36" fillId="12" borderId="12" xfId="0" applyNumberFormat="1" applyFont="1" applyFill="1" applyBorder="1" applyAlignment="1">
      <alignment horizontal="left"/>
    </xf>
    <xf numFmtId="4" fontId="33" fillId="0" borderId="0" xfId="0" applyNumberFormat="1" applyFont="1" applyAlignment="1">
      <alignment horizontal="left"/>
    </xf>
    <xf numFmtId="0" fontId="36" fillId="12" borderId="28" xfId="0" applyFont="1" applyFill="1" applyBorder="1" applyAlignment="1">
      <alignment horizontal="center"/>
    </xf>
    <xf numFmtId="0" fontId="36" fillId="12" borderId="5" xfId="0" applyFont="1" applyFill="1" applyBorder="1" applyAlignment="1">
      <alignment horizontal="center"/>
    </xf>
    <xf numFmtId="0" fontId="36" fillId="12" borderId="12" xfId="0" applyFont="1" applyFill="1" applyBorder="1" applyAlignment="1">
      <alignment horizontal="left"/>
    </xf>
    <xf numFmtId="0" fontId="36" fillId="12" borderId="24" xfId="2" applyFont="1" applyFill="1" applyBorder="1" applyAlignment="1">
      <alignment horizontal="left"/>
    </xf>
    <xf numFmtId="0" fontId="36" fillId="12" borderId="18" xfId="2" applyFont="1" applyFill="1" applyBorder="1" applyAlignment="1">
      <alignment horizontal="left"/>
    </xf>
    <xf numFmtId="4" fontId="36" fillId="12" borderId="18" xfId="0" applyNumberFormat="1" applyFont="1" applyFill="1" applyBorder="1" applyAlignment="1">
      <alignment horizontal="left"/>
    </xf>
    <xf numFmtId="0" fontId="36" fillId="12" borderId="24" xfId="0" applyFont="1" applyFill="1" applyBorder="1" applyAlignment="1">
      <alignment horizontal="center"/>
    </xf>
    <xf numFmtId="0" fontId="36" fillId="12" borderId="27" xfId="0" applyFont="1" applyFill="1" applyBorder="1" applyAlignment="1">
      <alignment horizontal="center"/>
    </xf>
    <xf numFmtId="0" fontId="36" fillId="12" borderId="19" xfId="0" applyFont="1" applyFill="1" applyBorder="1" applyAlignment="1">
      <alignment horizontal="left"/>
    </xf>
    <xf numFmtId="0" fontId="33" fillId="0" borderId="33" xfId="2" applyFont="1" applyBorder="1" applyAlignment="1">
      <alignment horizontal="left"/>
    </xf>
    <xf numFmtId="0" fontId="11" fillId="3" borderId="19" xfId="2" applyFont="1" applyFill="1" applyBorder="1" applyAlignment="1">
      <alignment horizontal="left"/>
    </xf>
    <xf numFmtId="4" fontId="11" fillId="0" borderId="12" xfId="0" applyNumberFormat="1" applyFont="1" applyBorder="1" applyAlignment="1">
      <alignment horizontal="left"/>
    </xf>
    <xf numFmtId="4" fontId="11" fillId="0" borderId="12" xfId="0" applyNumberFormat="1" applyFont="1" applyBorder="1" applyAlignment="1">
      <alignment horizontal="center"/>
    </xf>
    <xf numFmtId="0" fontId="11" fillId="0" borderId="19" xfId="0" applyFont="1" applyBorder="1" applyAlignment="1">
      <alignment horizontal="left"/>
    </xf>
    <xf numFmtId="0" fontId="37" fillId="0" borderId="33" xfId="2" applyFont="1" applyBorder="1" applyAlignment="1">
      <alignment horizontal="left" wrapText="1"/>
    </xf>
    <xf numFmtId="0" fontId="11" fillId="0" borderId="33" xfId="2" applyFont="1" applyBorder="1" applyAlignment="1">
      <alignment horizontal="left"/>
    </xf>
    <xf numFmtId="4" fontId="11" fillId="0" borderId="19" xfId="4" applyNumberFormat="1" applyFont="1" applyBorder="1" applyAlignment="1">
      <alignment horizontal="left"/>
    </xf>
    <xf numFmtId="4" fontId="11" fillId="0" borderId="19" xfId="0" applyNumberFormat="1" applyFont="1" applyBorder="1" applyAlignment="1">
      <alignment horizontal="left"/>
    </xf>
    <xf numFmtId="9" fontId="11" fillId="0" borderId="19" xfId="0" applyNumberFormat="1" applyFont="1" applyBorder="1" applyAlignment="1">
      <alignment horizontal="center"/>
    </xf>
    <xf numFmtId="0" fontId="37" fillId="0" borderId="33" xfId="2" applyFont="1" applyBorder="1" applyAlignment="1">
      <alignment horizontal="left"/>
    </xf>
    <xf numFmtId="4" fontId="11" fillId="0" borderId="18" xfId="4" applyNumberFormat="1" applyFont="1" applyBorder="1" applyAlignment="1">
      <alignment horizontal="left"/>
    </xf>
    <xf numFmtId="0" fontId="33" fillId="5" borderId="12" xfId="2" applyFont="1" applyFill="1" applyBorder="1" applyAlignment="1">
      <alignment horizontal="left"/>
    </xf>
    <xf numFmtId="4" fontId="33" fillId="5" borderId="12" xfId="4" applyNumberFormat="1" applyFont="1" applyFill="1" applyBorder="1" applyAlignment="1">
      <alignment horizontal="left"/>
    </xf>
    <xf numFmtId="4" fontId="33" fillId="13" borderId="14" xfId="0" applyNumberFormat="1" applyFont="1" applyFill="1" applyBorder="1" applyAlignment="1">
      <alignment horizontal="left"/>
    </xf>
    <xf numFmtId="9" fontId="33" fillId="13" borderId="14" xfId="0" applyNumberFormat="1" applyFont="1" applyFill="1" applyBorder="1" applyAlignment="1">
      <alignment horizontal="center"/>
    </xf>
    <xf numFmtId="4" fontId="33" fillId="14" borderId="14" xfId="0" applyNumberFormat="1" applyFont="1" applyFill="1" applyBorder="1" applyAlignment="1">
      <alignment horizontal="left"/>
    </xf>
    <xf numFmtId="0" fontId="33" fillId="0" borderId="28" xfId="2" applyFont="1" applyBorder="1" applyAlignment="1" applyProtection="1">
      <alignment horizontal="left"/>
      <protection locked="0"/>
    </xf>
    <xf numFmtId="0" fontId="33" fillId="0" borderId="12" xfId="2" applyFont="1" applyBorder="1" applyAlignment="1">
      <alignment horizontal="left"/>
    </xf>
    <xf numFmtId="4" fontId="11" fillId="0" borderId="12" xfId="4" applyNumberFormat="1" applyFont="1" applyBorder="1" applyAlignment="1">
      <alignment horizontal="left"/>
    </xf>
    <xf numFmtId="0" fontId="11" fillId="0" borderId="19" xfId="2" applyFont="1" applyBorder="1" applyAlignment="1">
      <alignment horizontal="left"/>
    </xf>
    <xf numFmtId="4" fontId="11" fillId="3" borderId="19" xfId="4" applyNumberFormat="1" applyFont="1" applyFill="1" applyBorder="1" applyAlignment="1">
      <alignment horizontal="left"/>
    </xf>
    <xf numFmtId="0" fontId="37" fillId="0" borderId="0" xfId="2" applyFont="1" applyAlignment="1">
      <alignment horizontal="left"/>
    </xf>
    <xf numFmtId="0" fontId="37" fillId="0" borderId="24" xfId="2" applyFont="1" applyBorder="1" applyAlignment="1">
      <alignment horizontal="left"/>
    </xf>
    <xf numFmtId="4" fontId="11" fillId="3" borderId="18" xfId="2" applyNumberFormat="1" applyFont="1" applyFill="1" applyBorder="1" applyAlignment="1">
      <alignment horizontal="left"/>
    </xf>
    <xf numFmtId="0" fontId="33" fillId="5" borderId="44" xfId="2" applyFont="1" applyFill="1" applyBorder="1" applyAlignment="1">
      <alignment horizontal="left"/>
    </xf>
    <xf numFmtId="0" fontId="33" fillId="0" borderId="19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37" fillId="0" borderId="19" xfId="2" applyFont="1" applyBorder="1" applyAlignment="1">
      <alignment horizontal="left"/>
    </xf>
    <xf numFmtId="0" fontId="33" fillId="5" borderId="45" xfId="2" applyFont="1" applyFill="1" applyBorder="1" applyAlignment="1">
      <alignment horizontal="left"/>
    </xf>
    <xf numFmtId="4" fontId="33" fillId="5" borderId="44" xfId="4" applyNumberFormat="1" applyFont="1" applyFill="1" applyBorder="1" applyAlignment="1">
      <alignment horizontal="left"/>
    </xf>
    <xf numFmtId="0" fontId="33" fillId="5" borderId="55" xfId="2" applyFont="1" applyFill="1" applyBorder="1" applyAlignment="1">
      <alignment horizontal="left"/>
    </xf>
    <xf numFmtId="0" fontId="33" fillId="0" borderId="25" xfId="2" applyFont="1" applyBorder="1" applyAlignment="1">
      <alignment horizontal="left"/>
    </xf>
    <xf numFmtId="0" fontId="11" fillId="0" borderId="56" xfId="2" applyFont="1" applyBorder="1" applyAlignment="1">
      <alignment horizontal="left"/>
    </xf>
    <xf numFmtId="0" fontId="37" fillId="0" borderId="18" xfId="2" applyFont="1" applyBorder="1" applyAlignment="1">
      <alignment horizontal="left"/>
    </xf>
    <xf numFmtId="0" fontId="33" fillId="5" borderId="28" xfId="2" applyFont="1" applyFill="1" applyBorder="1" applyAlignment="1">
      <alignment horizontal="left"/>
    </xf>
    <xf numFmtId="4" fontId="33" fillId="13" borderId="12" xfId="0" applyNumberFormat="1" applyFont="1" applyFill="1" applyBorder="1" applyAlignment="1">
      <alignment horizontal="left"/>
    </xf>
    <xf numFmtId="9" fontId="33" fillId="13" borderId="12" xfId="0" applyNumberFormat="1" applyFont="1" applyFill="1" applyBorder="1" applyAlignment="1">
      <alignment horizontal="center"/>
    </xf>
    <xf numFmtId="4" fontId="33" fillId="14" borderId="12" xfId="0" applyNumberFormat="1" applyFont="1" applyFill="1" applyBorder="1" applyAlignment="1">
      <alignment horizontal="left"/>
    </xf>
    <xf numFmtId="0" fontId="38" fillId="4" borderId="57" xfId="2" applyFont="1" applyFill="1" applyBorder="1" applyAlignment="1" applyProtection="1">
      <alignment horizontal="left"/>
      <protection locked="0"/>
    </xf>
    <xf numFmtId="0" fontId="38" fillId="4" borderId="58" xfId="2" applyFont="1" applyFill="1" applyBorder="1" applyAlignment="1">
      <alignment horizontal="left"/>
    </xf>
    <xf numFmtId="4" fontId="38" fillId="4" borderId="59" xfId="2" applyNumberFormat="1" applyFont="1" applyFill="1" applyBorder="1" applyAlignment="1">
      <alignment horizontal="left"/>
    </xf>
    <xf numFmtId="4" fontId="36" fillId="3" borderId="59" xfId="2" applyNumberFormat="1" applyFont="1" applyFill="1" applyBorder="1" applyAlignment="1">
      <alignment horizontal="left"/>
    </xf>
    <xf numFmtId="4" fontId="38" fillId="3" borderId="59" xfId="2" applyNumberFormat="1" applyFont="1" applyFill="1" applyBorder="1" applyAlignment="1">
      <alignment horizontal="left"/>
    </xf>
    <xf numFmtId="4" fontId="38" fillId="4" borderId="58" xfId="2" applyNumberFormat="1" applyFont="1" applyFill="1" applyBorder="1" applyAlignment="1">
      <alignment horizontal="left"/>
    </xf>
    <xf numFmtId="4" fontId="38" fillId="3" borderId="8" xfId="2" applyNumberFormat="1" applyFont="1" applyFill="1" applyBorder="1" applyAlignment="1">
      <alignment horizontal="left"/>
    </xf>
    <xf numFmtId="4" fontId="38" fillId="4" borderId="60" xfId="2" applyNumberFormat="1" applyFont="1" applyFill="1" applyBorder="1" applyAlignment="1">
      <alignment horizontal="left"/>
    </xf>
    <xf numFmtId="0" fontId="39" fillId="3" borderId="0" xfId="2" applyFont="1" applyFill="1" applyAlignment="1">
      <alignment horizontal="left"/>
    </xf>
    <xf numFmtId="0" fontId="11" fillId="3" borderId="0" xfId="2" applyFont="1" applyFill="1" applyAlignment="1">
      <alignment horizontal="left"/>
    </xf>
    <xf numFmtId="4" fontId="11" fillId="3" borderId="0" xfId="4" applyNumberFormat="1" applyFont="1" applyFill="1" applyAlignment="1">
      <alignment horizontal="left"/>
    </xf>
    <xf numFmtId="9" fontId="11" fillId="0" borderId="0" xfId="0" applyNumberFormat="1" applyFont="1" applyAlignment="1">
      <alignment horizontal="center"/>
    </xf>
    <xf numFmtId="0" fontId="36" fillId="15" borderId="1" xfId="2" applyFont="1" applyFill="1" applyBorder="1" applyAlignment="1" applyProtection="1">
      <alignment horizontal="left"/>
      <protection locked="0"/>
    </xf>
    <xf numFmtId="0" fontId="34" fillId="15" borderId="36" xfId="2" applyFont="1" applyFill="1" applyBorder="1" applyAlignment="1" applyProtection="1">
      <alignment horizontal="left"/>
      <protection locked="0"/>
    </xf>
    <xf numFmtId="4" fontId="34" fillId="15" borderId="35" xfId="4" applyNumberFormat="1" applyFont="1" applyFill="1" applyBorder="1" applyAlignment="1">
      <alignment horizontal="left"/>
    </xf>
    <xf numFmtId="0" fontId="34" fillId="15" borderId="39" xfId="0" applyFont="1" applyFill="1" applyBorder="1" applyAlignment="1">
      <alignment horizontal="left"/>
    </xf>
    <xf numFmtId="4" fontId="34" fillId="15" borderId="35" xfId="0" applyNumberFormat="1" applyFont="1" applyFill="1" applyBorder="1" applyAlignment="1">
      <alignment horizontal="left"/>
    </xf>
    <xf numFmtId="4" fontId="34" fillId="15" borderId="39" xfId="0" applyNumberFormat="1" applyFont="1" applyFill="1" applyBorder="1" applyAlignment="1">
      <alignment horizontal="left"/>
    </xf>
    <xf numFmtId="9" fontId="34" fillId="15" borderId="35" xfId="0" applyNumberFormat="1" applyFont="1" applyFill="1" applyBorder="1" applyAlignment="1">
      <alignment horizontal="center"/>
    </xf>
    <xf numFmtId="4" fontId="34" fillId="15" borderId="61" xfId="0" applyNumberFormat="1" applyFont="1" applyFill="1" applyBorder="1" applyAlignment="1">
      <alignment horizontal="left"/>
    </xf>
    <xf numFmtId="0" fontId="11" fillId="0" borderId="62" xfId="2" applyFont="1" applyBorder="1" applyAlignment="1" applyProtection="1">
      <alignment horizontal="left"/>
      <protection locked="0"/>
    </xf>
    <xf numFmtId="0" fontId="11" fillId="0" borderId="33" xfId="2" applyFont="1" applyBorder="1" applyAlignment="1" applyProtection="1">
      <alignment horizontal="left"/>
      <protection locked="0"/>
    </xf>
    <xf numFmtId="4" fontId="11" fillId="0" borderId="63" xfId="0" applyNumberFormat="1" applyFont="1" applyBorder="1" applyAlignment="1">
      <alignment horizontal="left"/>
    </xf>
    <xf numFmtId="0" fontId="33" fillId="5" borderId="64" xfId="2" applyFont="1" applyFill="1" applyBorder="1" applyAlignment="1" applyProtection="1">
      <alignment horizontal="left"/>
      <protection locked="0"/>
    </xf>
    <xf numFmtId="0" fontId="11" fillId="4" borderId="21" xfId="2" applyFont="1" applyFill="1" applyBorder="1" applyAlignment="1" applyProtection="1">
      <alignment horizontal="left"/>
      <protection locked="0"/>
    </xf>
    <xf numFmtId="4" fontId="33" fillId="5" borderId="14" xfId="2" applyNumberFormat="1" applyFont="1" applyFill="1" applyBorder="1" applyAlignment="1" applyProtection="1">
      <alignment horizontal="left"/>
      <protection locked="0"/>
    </xf>
    <xf numFmtId="4" fontId="33" fillId="14" borderId="65" xfId="0" applyNumberFormat="1" applyFont="1" applyFill="1" applyBorder="1" applyAlignment="1">
      <alignment horizontal="left"/>
    </xf>
    <xf numFmtId="0" fontId="33" fillId="0" borderId="7" xfId="2" applyFont="1" applyBorder="1" applyAlignment="1" applyProtection="1">
      <alignment horizontal="left"/>
      <protection locked="0"/>
    </xf>
    <xf numFmtId="0" fontId="11" fillId="0" borderId="23" xfId="2" applyFont="1" applyBorder="1" applyAlignment="1" applyProtection="1">
      <alignment horizontal="left"/>
      <protection locked="0"/>
    </xf>
    <xf numFmtId="0" fontId="33" fillId="4" borderId="64" xfId="2" applyFont="1" applyFill="1" applyBorder="1" applyAlignment="1">
      <alignment horizontal="left"/>
    </xf>
    <xf numFmtId="0" fontId="11" fillId="4" borderId="21" xfId="2" applyFont="1" applyFill="1" applyBorder="1" applyAlignment="1">
      <alignment horizontal="left"/>
    </xf>
    <xf numFmtId="4" fontId="11" fillId="5" borderId="14" xfId="4" applyNumberFormat="1" applyFont="1" applyFill="1" applyBorder="1" applyAlignment="1">
      <alignment horizontal="left"/>
    </xf>
    <xf numFmtId="4" fontId="11" fillId="13" borderId="14" xfId="0" applyNumberFormat="1" applyFont="1" applyFill="1" applyBorder="1" applyAlignment="1">
      <alignment horizontal="left"/>
    </xf>
    <xf numFmtId="9" fontId="11" fillId="13" borderId="14" xfId="0" applyNumberFormat="1" applyFont="1" applyFill="1" applyBorder="1" applyAlignment="1">
      <alignment horizontal="center"/>
    </xf>
    <xf numFmtId="0" fontId="33" fillId="0" borderId="66" xfId="2" applyFont="1" applyBorder="1" applyAlignment="1">
      <alignment horizontal="left"/>
    </xf>
    <xf numFmtId="0" fontId="11" fillId="0" borderId="28" xfId="2" applyFont="1" applyBorder="1" applyAlignment="1">
      <alignment horizontal="left"/>
    </xf>
    <xf numFmtId="0" fontId="37" fillId="0" borderId="67" xfId="2" applyFont="1" applyBorder="1" applyAlignment="1">
      <alignment horizontal="left"/>
    </xf>
    <xf numFmtId="4" fontId="11" fillId="0" borderId="19" xfId="2" applyNumberFormat="1" applyFont="1" applyBorder="1" applyAlignment="1">
      <alignment horizontal="left"/>
    </xf>
    <xf numFmtId="0" fontId="33" fillId="5" borderId="68" xfId="2" applyFont="1" applyFill="1" applyBorder="1" applyAlignment="1">
      <alignment horizontal="left"/>
    </xf>
    <xf numFmtId="0" fontId="38" fillId="4" borderId="10" xfId="2" applyFont="1" applyFill="1" applyBorder="1" applyAlignment="1" applyProtection="1">
      <alignment horizontal="left"/>
      <protection locked="0"/>
    </xf>
    <xf numFmtId="0" fontId="38" fillId="4" borderId="30" xfId="2" applyFont="1" applyFill="1" applyBorder="1" applyAlignment="1">
      <alignment horizontal="left"/>
    </xf>
    <xf numFmtId="4" fontId="38" fillId="4" borderId="29" xfId="2" applyNumberFormat="1" applyFont="1" applyFill="1" applyBorder="1" applyAlignment="1">
      <alignment horizontal="left"/>
    </xf>
    <xf numFmtId="0" fontId="34" fillId="0" borderId="16" xfId="0" applyFont="1" applyBorder="1" applyAlignment="1">
      <alignment horizontal="left"/>
    </xf>
    <xf numFmtId="4" fontId="33" fillId="0" borderId="16" xfId="0" applyNumberFormat="1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9" fontId="38" fillId="4" borderId="29" xfId="2" applyNumberFormat="1" applyFont="1" applyFill="1" applyBorder="1" applyAlignment="1">
      <alignment horizontal="center"/>
    </xf>
    <xf numFmtId="0" fontId="38" fillId="3" borderId="0" xfId="2" applyFont="1" applyFill="1" applyAlignment="1" applyProtection="1">
      <alignment horizontal="left"/>
      <protection locked="0"/>
    </xf>
    <xf numFmtId="0" fontId="38" fillId="3" borderId="0" xfId="2" applyFont="1" applyFill="1" applyAlignment="1">
      <alignment horizontal="left"/>
    </xf>
    <xf numFmtId="4" fontId="38" fillId="3" borderId="0" xfId="2" applyNumberFormat="1" applyFont="1" applyFill="1" applyAlignment="1">
      <alignment horizontal="left"/>
    </xf>
    <xf numFmtId="0" fontId="34" fillId="3" borderId="0" xfId="0" applyFont="1" applyFill="1" applyAlignment="1">
      <alignment horizontal="left"/>
    </xf>
    <xf numFmtId="4" fontId="33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9" fontId="38" fillId="3" borderId="0" xfId="2" applyNumberFormat="1" applyFont="1" applyFill="1" applyAlignment="1">
      <alignment horizontal="center"/>
    </xf>
    <xf numFmtId="4" fontId="34" fillId="0" borderId="0" xfId="0" applyNumberFormat="1" applyFont="1" applyAlignment="1">
      <alignment horizontal="center"/>
    </xf>
    <xf numFmtId="0" fontId="33" fillId="0" borderId="23" xfId="0" applyFont="1" applyBorder="1" applyAlignment="1">
      <alignment horizontal="left"/>
    </xf>
    <xf numFmtId="0" fontId="36" fillId="0" borderId="23" xfId="0" applyFont="1" applyBorder="1" applyAlignment="1">
      <alignment horizontal="left"/>
    </xf>
    <xf numFmtId="4" fontId="33" fillId="0" borderId="23" xfId="0" applyNumberFormat="1" applyFont="1" applyBorder="1" applyAlignment="1">
      <alignment horizontal="left"/>
    </xf>
    <xf numFmtId="4" fontId="36" fillId="0" borderId="23" xfId="0" applyNumberFormat="1" applyFont="1" applyBorder="1" applyAlignment="1">
      <alignment horizontal="left"/>
    </xf>
    <xf numFmtId="4" fontId="34" fillId="0" borderId="0" xfId="0" applyNumberFormat="1" applyFont="1" applyAlignment="1">
      <alignment horizontal="left"/>
    </xf>
    <xf numFmtId="0" fontId="40" fillId="0" borderId="0" xfId="0" applyFont="1" applyAlignment="1">
      <alignment horizontal="left"/>
    </xf>
    <xf numFmtId="4" fontId="40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/>
    </xf>
    <xf numFmtId="4" fontId="11" fillId="0" borderId="23" xfId="0" applyNumberFormat="1" applyFont="1" applyBorder="1" applyAlignment="1">
      <alignment horizontal="right"/>
    </xf>
    <xf numFmtId="4" fontId="11" fillId="0" borderId="23" xfId="0" applyNumberFormat="1" applyFont="1" applyBorder="1" applyAlignment="1">
      <alignment horizontal="left"/>
    </xf>
  </cellXfs>
  <cellStyles count="5">
    <cellStyle name="Comma" xfId="1" builtinId="3"/>
    <cellStyle name="Comma 2" xfId="3" xr:uid="{D2C55998-EE43-4B22-8B7D-14C90C341F21}"/>
    <cellStyle name="Normal" xfId="0" builtinId="0"/>
    <cellStyle name="Normal 2 2" xfId="4" xr:uid="{64227077-B6AF-4AE0-B9B9-5F09C93BF26F}"/>
    <cellStyle name="Normal 3" xfId="2" xr:uid="{EB0420C9-2581-4244-A318-B5B788919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adb46f231b5d81/Parish%20Council/Accounts/Accounts%20to%20Mar%2021/lgpcaccounts%20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tegories"/>
      <sheetName val="Cash book"/>
      <sheetName val="BVAP"/>
      <sheetName val="Cashbook Database"/>
      <sheetName val="Pivot Tables"/>
      <sheetName val="Ledger Receipts"/>
      <sheetName val="Receipts Database"/>
      <sheetName val="VAT Return"/>
      <sheetName val="Bank reconciliation"/>
      <sheetName val="Variances"/>
      <sheetName val="Reserves"/>
      <sheetName val="R&amp;P 1st Qtr"/>
      <sheetName val="R&amp;P 2nd Qtr"/>
      <sheetName val="R&amp;P 3rd Qtr"/>
      <sheetName val="R&amp;P 4th Qtr"/>
      <sheetName val="Annual R&amp;P "/>
      <sheetName val=" Budget"/>
      <sheetName val="Budget"/>
      <sheetName val=" Budget Analysis"/>
      <sheetName val="Public Rep"/>
      <sheetName val="5 Year Plan"/>
      <sheetName val=" Budget Preparation"/>
      <sheetName val="Annual Return Calcs"/>
      <sheetName val="Budget Vs Actual"/>
      <sheetName val="Purchase Order"/>
    </sheetNames>
    <sheetDataSet>
      <sheetData sheetId="0"/>
      <sheetData sheetId="1"/>
      <sheetData sheetId="2">
        <row r="43">
          <cell r="H43">
            <v>746.97</v>
          </cell>
        </row>
        <row r="77">
          <cell r="H77">
            <v>1165.8200000000002</v>
          </cell>
        </row>
        <row r="119">
          <cell r="H119">
            <v>1147.9299999999998</v>
          </cell>
        </row>
        <row r="158">
          <cell r="H158">
            <v>750.15000000000009</v>
          </cell>
        </row>
        <row r="159">
          <cell r="J159">
            <v>45168.490000000005</v>
          </cell>
          <cell r="L159">
            <v>9165.84</v>
          </cell>
        </row>
        <row r="163">
          <cell r="H163">
            <v>3810.87</v>
          </cell>
          <cell r="I163">
            <v>45168.490000000005</v>
          </cell>
          <cell r="L163">
            <v>9165.84</v>
          </cell>
        </row>
      </sheetData>
      <sheetData sheetId="3">
        <row r="4">
          <cell r="A4" t="str">
            <v>Row Labels</v>
          </cell>
          <cell r="B4" t="str">
            <v>Q1</v>
          </cell>
        </row>
        <row r="5">
          <cell r="A5">
            <v>1</v>
          </cell>
          <cell r="B5">
            <v>2367.65</v>
          </cell>
          <cell r="C5">
            <v>2239.89</v>
          </cell>
          <cell r="D5">
            <v>2239.89</v>
          </cell>
          <cell r="E5">
            <v>2239.89</v>
          </cell>
        </row>
        <row r="6">
          <cell r="A6">
            <v>2</v>
          </cell>
          <cell r="B6">
            <v>61.15</v>
          </cell>
          <cell r="D6">
            <v>11.58</v>
          </cell>
          <cell r="E6">
            <v>5.79</v>
          </cell>
        </row>
        <row r="7">
          <cell r="A7">
            <v>6</v>
          </cell>
          <cell r="B7">
            <v>20.46</v>
          </cell>
          <cell r="C7">
            <v>21</v>
          </cell>
          <cell r="D7">
            <v>23</v>
          </cell>
          <cell r="E7">
            <v>13.819999999999999</v>
          </cell>
        </row>
        <row r="8">
          <cell r="A8">
            <v>7</v>
          </cell>
          <cell r="B8">
            <v>15.83</v>
          </cell>
          <cell r="C8">
            <v>3.94</v>
          </cell>
          <cell r="D8">
            <v>11.93</v>
          </cell>
          <cell r="E8">
            <v>10.18</v>
          </cell>
        </row>
        <row r="9">
          <cell r="A9">
            <v>9</v>
          </cell>
          <cell r="B9">
            <v>288</v>
          </cell>
          <cell r="C9">
            <v>23.98</v>
          </cell>
          <cell r="D9">
            <v>35.97</v>
          </cell>
          <cell r="E9">
            <v>35.97</v>
          </cell>
        </row>
        <row r="10">
          <cell r="A10">
            <v>14</v>
          </cell>
          <cell r="B10">
            <v>10.47</v>
          </cell>
          <cell r="C10">
            <v>21.39</v>
          </cell>
          <cell r="D10">
            <v>594.63</v>
          </cell>
          <cell r="E10">
            <v>10.47</v>
          </cell>
        </row>
        <row r="11">
          <cell r="A11">
            <v>15</v>
          </cell>
          <cell r="B11">
            <v>50.4</v>
          </cell>
          <cell r="C11">
            <v>50.8</v>
          </cell>
          <cell r="D11">
            <v>60.8</v>
          </cell>
          <cell r="E11">
            <v>51.2</v>
          </cell>
        </row>
        <row r="12">
          <cell r="A12">
            <v>23</v>
          </cell>
          <cell r="B12">
            <v>60</v>
          </cell>
        </row>
        <row r="13">
          <cell r="A13">
            <v>26</v>
          </cell>
          <cell r="B13">
            <v>240</v>
          </cell>
          <cell r="D13">
            <v>69.12</v>
          </cell>
          <cell r="E13">
            <v>9.36</v>
          </cell>
        </row>
        <row r="14">
          <cell r="A14">
            <v>27</v>
          </cell>
          <cell r="B14">
            <v>530.01</v>
          </cell>
          <cell r="C14">
            <v>530.01</v>
          </cell>
          <cell r="D14">
            <v>530.01</v>
          </cell>
          <cell r="E14">
            <v>530.01</v>
          </cell>
        </row>
        <row r="15">
          <cell r="A15">
            <v>29</v>
          </cell>
          <cell r="B15">
            <v>139.5</v>
          </cell>
          <cell r="C15">
            <v>50</v>
          </cell>
          <cell r="E15">
            <v>50</v>
          </cell>
        </row>
        <row r="16">
          <cell r="A16">
            <v>44</v>
          </cell>
          <cell r="B16">
            <v>12.73</v>
          </cell>
        </row>
        <row r="17">
          <cell r="A17">
            <v>46</v>
          </cell>
          <cell r="B17">
            <v>294.08</v>
          </cell>
          <cell r="C17">
            <v>322.33999999999997</v>
          </cell>
          <cell r="D17">
            <v>216.03</v>
          </cell>
          <cell r="E17">
            <v>100</v>
          </cell>
        </row>
        <row r="18">
          <cell r="A18">
            <v>19</v>
          </cell>
          <cell r="B18">
            <v>191</v>
          </cell>
          <cell r="C18">
            <v>200</v>
          </cell>
        </row>
        <row r="19">
          <cell r="A19">
            <v>31</v>
          </cell>
          <cell r="B19">
            <v>338.23</v>
          </cell>
          <cell r="C19">
            <v>252.7</v>
          </cell>
          <cell r="D19">
            <v>290.10000000000002</v>
          </cell>
          <cell r="E19">
            <v>252.89999999999998</v>
          </cell>
        </row>
        <row r="20">
          <cell r="A20">
            <v>0</v>
          </cell>
          <cell r="B20">
            <v>0</v>
          </cell>
        </row>
        <row r="21">
          <cell r="A21">
            <v>41</v>
          </cell>
          <cell r="B21">
            <v>310</v>
          </cell>
          <cell r="D21">
            <v>750</v>
          </cell>
          <cell r="E21">
            <v>167.75</v>
          </cell>
        </row>
        <row r="22">
          <cell r="A22">
            <v>36</v>
          </cell>
          <cell r="B22">
            <v>543.24</v>
          </cell>
        </row>
        <row r="23">
          <cell r="A23">
            <v>30</v>
          </cell>
          <cell r="B23">
            <v>1917</v>
          </cell>
          <cell r="C23">
            <v>2944.9</v>
          </cell>
          <cell r="D23">
            <v>1090</v>
          </cell>
          <cell r="E23">
            <v>122.5</v>
          </cell>
        </row>
        <row r="24">
          <cell r="A24">
            <v>25</v>
          </cell>
          <cell r="B24">
            <v>35</v>
          </cell>
        </row>
        <row r="25">
          <cell r="A25">
            <v>8</v>
          </cell>
          <cell r="C25">
            <v>32.67</v>
          </cell>
          <cell r="D25">
            <v>7.8</v>
          </cell>
          <cell r="E25">
            <v>19.059999999999999</v>
          </cell>
        </row>
        <row r="26">
          <cell r="A26">
            <v>20</v>
          </cell>
          <cell r="C26">
            <v>920.44</v>
          </cell>
        </row>
        <row r="27">
          <cell r="A27">
            <v>47</v>
          </cell>
          <cell r="C27">
            <v>4572.84</v>
          </cell>
          <cell r="D27">
            <v>5930</v>
          </cell>
          <cell r="E27">
            <v>58</v>
          </cell>
        </row>
        <row r="28">
          <cell r="A28">
            <v>28</v>
          </cell>
          <cell r="C28">
            <v>400</v>
          </cell>
          <cell r="D28">
            <v>200</v>
          </cell>
        </row>
        <row r="29">
          <cell r="A29">
            <v>18</v>
          </cell>
          <cell r="C29">
            <v>300</v>
          </cell>
        </row>
        <row r="30">
          <cell r="A30">
            <v>49</v>
          </cell>
          <cell r="D30">
            <v>198.14</v>
          </cell>
        </row>
        <row r="31">
          <cell r="A31">
            <v>16</v>
          </cell>
          <cell r="B31">
            <v>85</v>
          </cell>
        </row>
        <row r="32">
          <cell r="A32">
            <v>42</v>
          </cell>
          <cell r="D32">
            <v>2000</v>
          </cell>
        </row>
        <row r="33">
          <cell r="A33">
            <v>45</v>
          </cell>
          <cell r="D33">
            <v>254.57</v>
          </cell>
        </row>
        <row r="34">
          <cell r="A34">
            <v>43</v>
          </cell>
          <cell r="E34">
            <v>2325</v>
          </cell>
        </row>
        <row r="35">
          <cell r="A35">
            <v>17</v>
          </cell>
          <cell r="E35">
            <v>135</v>
          </cell>
        </row>
        <row r="36">
          <cell r="A36">
            <v>10</v>
          </cell>
          <cell r="E36">
            <v>300</v>
          </cell>
        </row>
        <row r="37">
          <cell r="A37">
            <v>11</v>
          </cell>
          <cell r="E37">
            <v>10.5</v>
          </cell>
        </row>
      </sheetData>
      <sheetData sheetId="4"/>
      <sheetData sheetId="5"/>
      <sheetData sheetId="6">
        <row r="7">
          <cell r="M7">
            <v>48805.07</v>
          </cell>
        </row>
        <row r="21">
          <cell r="D21">
            <v>25471</v>
          </cell>
        </row>
        <row r="110">
          <cell r="I110">
            <v>4736.97</v>
          </cell>
        </row>
        <row r="111">
          <cell r="I111">
            <v>55045.14</v>
          </cell>
        </row>
        <row r="115">
          <cell r="I115">
            <v>59782.11</v>
          </cell>
        </row>
        <row r="123">
          <cell r="E123">
            <v>155.59</v>
          </cell>
          <cell r="F123">
            <v>27050</v>
          </cell>
          <cell r="G123">
            <v>3468.9400000000005</v>
          </cell>
          <cell r="I123">
            <v>56145.530000000006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A6" t="str">
            <v>STAFF COSTS</v>
          </cell>
        </row>
        <row r="13">
          <cell r="A13" t="str">
            <v>ADMINISTRATION COSTS</v>
          </cell>
        </row>
        <row r="35">
          <cell r="A35" t="str">
            <v>PARK &amp; OPEN SPACES</v>
          </cell>
        </row>
        <row r="42">
          <cell r="A42" t="str">
            <v>CHURCHYARD</v>
          </cell>
        </row>
        <row r="49">
          <cell r="A49" t="str">
            <v>SUBSCRIPTIONS</v>
          </cell>
        </row>
        <row r="56">
          <cell r="A56" t="str">
            <v xml:space="preserve">GRANTS &amp; DONATIONS </v>
          </cell>
        </row>
        <row r="60">
          <cell r="A60" t="str">
            <v>OTHER</v>
          </cell>
        </row>
        <row r="65">
          <cell r="A65" t="str">
            <v>CONTINGENCY</v>
          </cell>
        </row>
        <row r="69">
          <cell r="A69" t="str">
            <v>EARMARKED RESERVE FUNDS</v>
          </cell>
        </row>
        <row r="75">
          <cell r="A75" t="str">
            <v xml:space="preserve">CAPITAL 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EF9F-2B8A-4502-82D1-91073CD4915E}">
  <sheetPr>
    <tabColor indexed="10"/>
    <pageSetUpPr fitToPage="1"/>
  </sheetPr>
  <dimension ref="A1:AE166"/>
  <sheetViews>
    <sheetView workbookViewId="0">
      <pane xSplit="7" ySplit="9" topLeftCell="AB34" activePane="bottomRight" state="frozenSplit"/>
      <selection pane="topRight" activeCell="G1" sqref="G1"/>
      <selection pane="bottomLeft" activeCell="A6" sqref="A6"/>
      <selection pane="bottomRight" activeCell="C40" sqref="C40"/>
    </sheetView>
  </sheetViews>
  <sheetFormatPr defaultRowHeight="12.5" x14ac:dyDescent="0.25"/>
  <cols>
    <col min="1" max="1" width="26.26953125" bestFit="1" customWidth="1"/>
    <col min="2" max="2" width="6.54296875" style="290" customWidth="1"/>
    <col min="3" max="3" width="12.08984375" style="291" bestFit="1" customWidth="1"/>
    <col min="4" max="4" width="9.81640625" customWidth="1"/>
    <col min="5" max="5" width="33.54296875" customWidth="1"/>
    <col min="6" max="6" width="41.90625" customWidth="1"/>
    <col min="7" max="7" width="5.7265625" customWidth="1"/>
    <col min="8" max="8" width="10" style="292" customWidth="1"/>
    <col min="9" max="9" width="10.7265625" style="292" customWidth="1"/>
    <col min="10" max="10" width="9.81640625" customWidth="1"/>
    <col min="11" max="11" width="9" style="290" customWidth="1"/>
    <col min="12" max="12" width="9.54296875" bestFit="1" customWidth="1"/>
    <col min="13" max="13" width="9.26953125" bestFit="1" customWidth="1"/>
    <col min="15" max="15" width="11.1796875" customWidth="1"/>
    <col min="16" max="18" width="9.26953125" bestFit="1" customWidth="1"/>
    <col min="19" max="19" width="10" customWidth="1"/>
    <col min="25" max="25" width="9.26953125" bestFit="1" customWidth="1"/>
    <col min="29" max="29" width="10.6328125" bestFit="1" customWidth="1"/>
  </cols>
  <sheetData>
    <row r="1" spans="1:30" ht="16" thickBot="1" x14ac:dyDescent="0.4">
      <c r="A1" s="1" t="s">
        <v>0</v>
      </c>
      <c r="B1" s="2"/>
      <c r="C1" s="3"/>
      <c r="D1" s="1"/>
      <c r="E1" s="1"/>
      <c r="F1" s="4" t="s">
        <v>1</v>
      </c>
      <c r="G1" s="4"/>
      <c r="H1" s="5" t="s">
        <v>2</v>
      </c>
      <c r="I1" s="6" t="s">
        <v>3</v>
      </c>
      <c r="J1" s="7" t="s">
        <v>4</v>
      </c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6" thickBot="1" x14ac:dyDescent="0.4">
      <c r="A2" s="1"/>
      <c r="B2" s="2"/>
      <c r="C2" s="3"/>
      <c r="D2" s="1">
        <f>62*10.953</f>
        <v>679.08600000000001</v>
      </c>
      <c r="E2" s="1"/>
      <c r="F2" s="8"/>
      <c r="G2" s="8"/>
      <c r="H2" s="9">
        <v>750.15</v>
      </c>
      <c r="I2" s="10">
        <f>H2*1.2</f>
        <v>900.18</v>
      </c>
      <c r="J2" s="11">
        <f>H2*1.2-H2</f>
        <v>150.02999999999997</v>
      </c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6" thickBot="1" x14ac:dyDescent="0.4">
      <c r="A3" s="1"/>
      <c r="B3" s="2"/>
      <c r="C3" s="3"/>
      <c r="D3" s="1">
        <v>27.88</v>
      </c>
      <c r="E3" s="1"/>
      <c r="F3" s="8"/>
      <c r="G3" s="8"/>
      <c r="H3" s="12">
        <f>I3/1.2</f>
        <v>37.5</v>
      </c>
      <c r="I3" s="13">
        <v>45</v>
      </c>
      <c r="J3" s="14">
        <f>I3-H3</f>
        <v>7.5</v>
      </c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6" thickBot="1" x14ac:dyDescent="0.4">
      <c r="A4" s="1"/>
      <c r="B4" s="2"/>
      <c r="C4" s="3"/>
      <c r="D4" s="1">
        <f>679.09+27.88</f>
        <v>706.97</v>
      </c>
      <c r="E4" s="1"/>
      <c r="F4" s="4" t="s">
        <v>5</v>
      </c>
      <c r="G4" s="8"/>
      <c r="H4" s="15">
        <f>I4-J4</f>
        <v>3750.7499999999995</v>
      </c>
      <c r="I4" s="16">
        <f>J4*6</f>
        <v>4500.8999999999996</v>
      </c>
      <c r="J4" s="13">
        <v>750.15</v>
      </c>
      <c r="K4" s="2"/>
      <c r="L4" s="1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5" x14ac:dyDescent="0.35">
      <c r="A5" s="1"/>
      <c r="B5" s="2"/>
      <c r="C5" s="3"/>
      <c r="D5" s="1"/>
      <c r="E5" s="1"/>
      <c r="F5" s="8" t="s">
        <v>6</v>
      </c>
      <c r="G5" s="8"/>
      <c r="H5" s="18"/>
      <c r="I5" s="19"/>
      <c r="J5" s="19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5.5" customHeight="1" thickBot="1" x14ac:dyDescent="0.4">
      <c r="A6" s="1"/>
      <c r="B6" s="2"/>
      <c r="C6" s="3"/>
      <c r="D6" s="1"/>
      <c r="E6" s="1"/>
      <c r="F6" s="8" t="s">
        <v>7</v>
      </c>
      <c r="G6" s="8"/>
      <c r="H6" s="20"/>
      <c r="I6" s="20"/>
      <c r="J6" s="1"/>
      <c r="K6" s="2"/>
      <c r="L6" s="2" t="s">
        <v>8</v>
      </c>
      <c r="M6" s="2" t="s">
        <v>9</v>
      </c>
      <c r="N6" s="2" t="s">
        <v>10</v>
      </c>
      <c r="O6" s="2" t="s">
        <v>11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16</v>
      </c>
      <c r="U6" s="2" t="s">
        <v>17</v>
      </c>
      <c r="V6" s="1"/>
      <c r="W6" s="1"/>
      <c r="X6" s="1"/>
      <c r="Y6" s="1"/>
      <c r="Z6" s="1"/>
      <c r="AA6" s="1"/>
      <c r="AB6" s="1"/>
      <c r="AC6" s="1"/>
      <c r="AD6" s="1"/>
    </row>
    <row r="7" spans="1:30" ht="24" customHeight="1" x14ac:dyDescent="0.25">
      <c r="A7" s="21" t="s">
        <v>18</v>
      </c>
      <c r="B7" s="21" t="s">
        <v>19</v>
      </c>
      <c r="C7" s="22" t="s">
        <v>20</v>
      </c>
      <c r="D7" s="21" t="s">
        <v>21</v>
      </c>
      <c r="E7" s="21" t="s">
        <v>22</v>
      </c>
      <c r="F7" s="21" t="s">
        <v>23</v>
      </c>
      <c r="G7" s="21" t="s">
        <v>24</v>
      </c>
      <c r="H7" s="23" t="s">
        <v>25</v>
      </c>
      <c r="I7" s="24" t="s">
        <v>26</v>
      </c>
      <c r="J7" s="25" t="s">
        <v>27</v>
      </c>
      <c r="K7" s="26" t="s">
        <v>28</v>
      </c>
      <c r="L7" s="21" t="str">
        <f>[1]Budget!A6</f>
        <v>STAFF COSTS</v>
      </c>
      <c r="M7" s="21" t="s">
        <v>29</v>
      </c>
      <c r="N7" s="21" t="str">
        <f>[1]Budget!A35</f>
        <v>PARK &amp; OPEN SPACES</v>
      </c>
      <c r="O7" s="21" t="str">
        <f>[1]Budget!A42</f>
        <v>CHURCHYARD</v>
      </c>
      <c r="P7" s="21" t="str">
        <f>[1]Budget!A49</f>
        <v>SUBSCRIPTIONS</v>
      </c>
      <c r="Q7" s="21" t="str">
        <f>[1]Budget!A56</f>
        <v xml:space="preserve">GRANTS &amp; DONATIONS </v>
      </c>
      <c r="R7" s="21" t="str">
        <f>[1]Budget!A60</f>
        <v>OTHER</v>
      </c>
      <c r="S7" s="21" t="str">
        <f>[1]Budget!A65</f>
        <v>CONTINGENCY</v>
      </c>
      <c r="T7" s="21" t="str">
        <f>[1]Budget!A69</f>
        <v>EARMARKED RESERVE FUNDS</v>
      </c>
      <c r="U7" s="27" t="str">
        <f>[1]Budget!A75</f>
        <v xml:space="preserve">CAPITAL </v>
      </c>
      <c r="V7" s="21"/>
      <c r="W7" s="21"/>
      <c r="X7" s="21"/>
      <c r="Y7" s="21" t="s">
        <v>30</v>
      </c>
      <c r="Z7" s="21" t="s">
        <v>30</v>
      </c>
      <c r="AA7" s="21" t="s">
        <v>30</v>
      </c>
      <c r="AB7" s="21" t="s">
        <v>31</v>
      </c>
      <c r="AC7" s="28" t="s">
        <v>2</v>
      </c>
      <c r="AD7" s="1"/>
    </row>
    <row r="8" spans="1:30" ht="13" hidden="1" thickBot="1" x14ac:dyDescent="0.3">
      <c r="A8" s="29"/>
      <c r="B8" s="29"/>
      <c r="C8" s="30" t="s">
        <v>32</v>
      </c>
      <c r="D8" s="29" t="s">
        <v>33</v>
      </c>
      <c r="E8" s="29"/>
      <c r="F8" s="29"/>
      <c r="G8" s="29" t="s">
        <v>34</v>
      </c>
      <c r="H8" s="31"/>
      <c r="I8" s="32"/>
      <c r="J8" s="33" t="s">
        <v>26</v>
      </c>
      <c r="K8" s="34"/>
      <c r="L8" s="29"/>
      <c r="M8" s="29"/>
      <c r="N8" s="29"/>
      <c r="O8" s="29"/>
      <c r="P8" s="29"/>
      <c r="Q8" s="29"/>
      <c r="R8" s="29"/>
      <c r="S8" s="29"/>
      <c r="T8" s="29"/>
      <c r="U8" s="35"/>
      <c r="V8" s="29"/>
      <c r="W8" s="29"/>
      <c r="X8" s="29"/>
      <c r="Y8" s="29"/>
      <c r="Z8" s="29"/>
      <c r="AA8" s="29"/>
      <c r="AB8" s="29" t="s">
        <v>35</v>
      </c>
      <c r="AD8" s="1"/>
    </row>
    <row r="9" spans="1:30" ht="2" customHeight="1" x14ac:dyDescent="0.25">
      <c r="A9" s="36"/>
      <c r="B9" s="36"/>
      <c r="C9" s="37"/>
      <c r="D9" s="36"/>
      <c r="E9" s="36"/>
      <c r="F9" s="36"/>
      <c r="G9" s="36"/>
      <c r="H9" s="38"/>
      <c r="I9" s="39"/>
      <c r="J9" s="40"/>
      <c r="K9" s="41"/>
      <c r="L9" s="36" t="s">
        <v>8</v>
      </c>
      <c r="M9" s="36" t="str">
        <f>[1]Budget!A13</f>
        <v>ADMINISTRATION COSTS</v>
      </c>
      <c r="N9" s="36" t="s">
        <v>10</v>
      </c>
      <c r="O9" s="36"/>
      <c r="P9" s="36" t="s">
        <v>12</v>
      </c>
      <c r="Q9" s="36"/>
      <c r="R9" s="36" t="s">
        <v>14</v>
      </c>
      <c r="S9" s="36" t="s">
        <v>15</v>
      </c>
      <c r="T9" s="36" t="s">
        <v>16</v>
      </c>
      <c r="U9" s="36" t="s">
        <v>17</v>
      </c>
      <c r="V9" s="36" t="s">
        <v>36</v>
      </c>
      <c r="W9" s="36" t="s">
        <v>37</v>
      </c>
      <c r="X9" s="36" t="s">
        <v>38</v>
      </c>
      <c r="Y9" s="36" t="s">
        <v>39</v>
      </c>
      <c r="Z9" s="36" t="s">
        <v>40</v>
      </c>
      <c r="AA9" s="36" t="s">
        <v>41</v>
      </c>
      <c r="AB9" s="36" t="s">
        <v>42</v>
      </c>
      <c r="AD9" s="1"/>
    </row>
    <row r="10" spans="1:30" s="56" customFormat="1" ht="14" x14ac:dyDescent="0.3">
      <c r="A10" s="42">
        <v>43922</v>
      </c>
      <c r="B10" s="43">
        <v>706</v>
      </c>
      <c r="C10" s="44" t="s">
        <v>43</v>
      </c>
      <c r="D10" s="43" t="s">
        <v>44</v>
      </c>
      <c r="E10" s="45" t="s">
        <v>45</v>
      </c>
      <c r="F10" s="45" t="s">
        <v>46</v>
      </c>
      <c r="G10" s="43" t="s">
        <v>47</v>
      </c>
      <c r="H10" s="46"/>
      <c r="I10" s="47">
        <v>2367.65</v>
      </c>
      <c r="J10" s="48">
        <f t="shared" ref="J10" si="0">+SUM(L10:AB10)+H10</f>
        <v>2367.65</v>
      </c>
      <c r="K10" s="49" t="s">
        <v>48</v>
      </c>
      <c r="L10" s="50">
        <v>2367.65</v>
      </c>
      <c r="M10" s="51"/>
      <c r="N10" s="51"/>
      <c r="O10" s="51"/>
      <c r="P10" s="51"/>
      <c r="Q10" s="51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3"/>
      <c r="AC10" s="54">
        <f>SUM(L10:AB10)</f>
        <v>2367.65</v>
      </c>
      <c r="AD10" s="55"/>
    </row>
    <row r="11" spans="1:30" s="60" customFormat="1" ht="14" x14ac:dyDescent="0.3">
      <c r="A11" s="42">
        <v>43922</v>
      </c>
      <c r="B11" s="43">
        <v>706</v>
      </c>
      <c r="C11" s="44" t="s">
        <v>49</v>
      </c>
      <c r="D11" s="43" t="s">
        <v>44</v>
      </c>
      <c r="E11" s="45" t="s">
        <v>45</v>
      </c>
      <c r="F11" s="45" t="s">
        <v>50</v>
      </c>
      <c r="G11" s="43" t="s">
        <v>51</v>
      </c>
      <c r="H11" s="46">
        <f>1.36+1.36+1.36</f>
        <v>4.08</v>
      </c>
      <c r="I11" s="47">
        <f>8.18+8.18+8.18</f>
        <v>24.54</v>
      </c>
      <c r="J11" s="48">
        <f t="shared" ref="J11:J16" si="1">+SUM(L11:AB11)+H11</f>
        <v>24.54</v>
      </c>
      <c r="K11" s="49" t="s">
        <v>48</v>
      </c>
      <c r="L11" s="51"/>
      <c r="M11" s="51">
        <f>6.82+6.82+6.82</f>
        <v>20.46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7"/>
      <c r="Y11" s="57"/>
      <c r="Z11" s="57"/>
      <c r="AA11" s="57"/>
      <c r="AB11" s="58"/>
      <c r="AC11" s="54">
        <f t="shared" ref="AC11:AC42" si="2">SUM(L11:AB11)</f>
        <v>20.46</v>
      </c>
      <c r="AD11" s="59"/>
    </row>
    <row r="12" spans="1:30" ht="14" x14ac:dyDescent="0.3">
      <c r="A12" s="42">
        <v>43922</v>
      </c>
      <c r="B12" s="43">
        <v>706</v>
      </c>
      <c r="C12" s="44" t="s">
        <v>49</v>
      </c>
      <c r="D12" s="43" t="s">
        <v>44</v>
      </c>
      <c r="E12" s="45" t="s">
        <v>45</v>
      </c>
      <c r="F12" s="45" t="s">
        <v>52</v>
      </c>
      <c r="G12" s="61" t="s">
        <v>53</v>
      </c>
      <c r="H12" s="46"/>
      <c r="I12" s="47">
        <v>50.4</v>
      </c>
      <c r="J12" s="48">
        <f t="shared" ref="J12:J15" si="3">+SUM(L12:AB12)+H12</f>
        <v>50.4</v>
      </c>
      <c r="K12" s="49" t="s">
        <v>48</v>
      </c>
      <c r="L12" s="51"/>
      <c r="M12" s="51">
        <v>50.4</v>
      </c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62"/>
      <c r="Y12" s="62"/>
      <c r="Z12" s="62"/>
      <c r="AA12" s="62"/>
      <c r="AB12" s="63"/>
      <c r="AC12" s="54">
        <f t="shared" si="2"/>
        <v>50.4</v>
      </c>
      <c r="AD12" s="64"/>
    </row>
    <row r="13" spans="1:30" ht="14.5" thickBot="1" x14ac:dyDescent="0.35">
      <c r="A13" s="42">
        <v>43922</v>
      </c>
      <c r="B13" s="43">
        <v>706</v>
      </c>
      <c r="C13" s="44" t="s">
        <v>49</v>
      </c>
      <c r="D13" s="43" t="s">
        <v>44</v>
      </c>
      <c r="E13" s="45" t="s">
        <v>45</v>
      </c>
      <c r="F13" s="45" t="s">
        <v>54</v>
      </c>
      <c r="G13" s="61" t="s">
        <v>55</v>
      </c>
      <c r="H13" s="46"/>
      <c r="I13" s="47">
        <v>15.83</v>
      </c>
      <c r="J13" s="48">
        <f t="shared" si="3"/>
        <v>15.83</v>
      </c>
      <c r="K13" s="49" t="s">
        <v>48</v>
      </c>
      <c r="L13" s="51"/>
      <c r="M13" s="51">
        <v>15.83</v>
      </c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62"/>
      <c r="Y13" s="62"/>
      <c r="Z13" s="62"/>
      <c r="AA13" s="62"/>
      <c r="AB13" s="63"/>
      <c r="AC13" s="54">
        <f t="shared" si="2"/>
        <v>15.83</v>
      </c>
      <c r="AD13" s="64"/>
    </row>
    <row r="14" spans="1:30" ht="14.5" thickTop="1" x14ac:dyDescent="0.3">
      <c r="A14" s="42">
        <v>43922</v>
      </c>
      <c r="B14" s="43">
        <v>706</v>
      </c>
      <c r="C14" s="44" t="s">
        <v>49</v>
      </c>
      <c r="D14" s="43" t="s">
        <v>44</v>
      </c>
      <c r="E14" s="45" t="s">
        <v>45</v>
      </c>
      <c r="F14" s="65" t="s">
        <v>56</v>
      </c>
      <c r="G14" s="43" t="s">
        <v>57</v>
      </c>
      <c r="H14" s="46">
        <v>14.47</v>
      </c>
      <c r="I14" s="47">
        <v>95.79</v>
      </c>
      <c r="J14" s="48">
        <f t="shared" si="3"/>
        <v>95.789999999999992</v>
      </c>
      <c r="K14" s="49" t="s">
        <v>48</v>
      </c>
      <c r="L14" s="51"/>
      <c r="M14" s="51"/>
      <c r="N14" s="51"/>
      <c r="O14" s="51"/>
      <c r="P14" s="51"/>
      <c r="Q14" s="51"/>
      <c r="R14" s="51"/>
      <c r="S14" s="51">
        <v>81.319999999999993</v>
      </c>
      <c r="T14" s="51"/>
      <c r="U14" s="51"/>
      <c r="V14" s="51"/>
      <c r="W14" s="51"/>
      <c r="X14" s="62"/>
      <c r="Y14" s="62"/>
      <c r="Z14" s="62"/>
      <c r="AA14" s="62"/>
      <c r="AB14" s="63"/>
      <c r="AC14" s="54">
        <f t="shared" si="2"/>
        <v>81.319999999999993</v>
      </c>
      <c r="AD14" s="64"/>
    </row>
    <row r="15" spans="1:30" ht="14" x14ac:dyDescent="0.3">
      <c r="A15" s="42">
        <v>43922</v>
      </c>
      <c r="B15" s="43">
        <v>707</v>
      </c>
      <c r="C15" s="44" t="s">
        <v>43</v>
      </c>
      <c r="D15" s="43" t="s">
        <v>44</v>
      </c>
      <c r="E15" s="45" t="s">
        <v>58</v>
      </c>
      <c r="F15" s="45" t="s">
        <v>59</v>
      </c>
      <c r="G15" s="43" t="s">
        <v>60</v>
      </c>
      <c r="H15" s="46"/>
      <c r="I15" s="47">
        <v>61.15</v>
      </c>
      <c r="J15" s="48">
        <f t="shared" si="3"/>
        <v>61.15</v>
      </c>
      <c r="K15" s="49" t="s">
        <v>48</v>
      </c>
      <c r="L15" s="51">
        <v>61.15</v>
      </c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62"/>
      <c r="Y15" s="62"/>
      <c r="Z15" s="62"/>
      <c r="AA15" s="62"/>
      <c r="AB15" s="63"/>
      <c r="AC15" s="54">
        <f t="shared" si="2"/>
        <v>61.15</v>
      </c>
      <c r="AD15" s="64"/>
    </row>
    <row r="16" spans="1:30" ht="14" x14ac:dyDescent="0.3">
      <c r="A16" s="42">
        <v>43922</v>
      </c>
      <c r="B16" s="43">
        <v>708</v>
      </c>
      <c r="C16" s="44" t="s">
        <v>43</v>
      </c>
      <c r="D16" s="43" t="s">
        <v>44</v>
      </c>
      <c r="E16" s="66" t="s">
        <v>61</v>
      </c>
      <c r="F16" s="45" t="s">
        <v>62</v>
      </c>
      <c r="G16" s="43" t="s">
        <v>63</v>
      </c>
      <c r="H16" s="46">
        <v>12</v>
      </c>
      <c r="I16" s="47">
        <v>72</v>
      </c>
      <c r="J16" s="48">
        <f t="shared" si="1"/>
        <v>72</v>
      </c>
      <c r="K16" s="49" t="s">
        <v>48</v>
      </c>
      <c r="L16" s="51"/>
      <c r="M16" s="51">
        <v>60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62"/>
      <c r="Y16" s="62"/>
      <c r="Z16" s="62"/>
      <c r="AA16" s="62"/>
      <c r="AB16" s="63"/>
      <c r="AC16" s="54">
        <f t="shared" si="2"/>
        <v>60</v>
      </c>
      <c r="AD16" s="64"/>
    </row>
    <row r="17" spans="1:30" ht="14" x14ac:dyDescent="0.3">
      <c r="A17" s="42">
        <v>43922</v>
      </c>
      <c r="B17" s="43">
        <v>709</v>
      </c>
      <c r="C17" s="44" t="s">
        <v>43</v>
      </c>
      <c r="D17" s="43" t="s">
        <v>44</v>
      </c>
      <c r="E17" s="45" t="s">
        <v>64</v>
      </c>
      <c r="F17" s="45" t="s">
        <v>65</v>
      </c>
      <c r="G17" s="43" t="s">
        <v>66</v>
      </c>
      <c r="H17" s="46">
        <v>0.64</v>
      </c>
      <c r="I17" s="67">
        <v>13.37</v>
      </c>
      <c r="J17" s="48">
        <f t="shared" ref="J17:J18" si="4">+SUM(L17:AB17)+H17</f>
        <v>13.370000000000001</v>
      </c>
      <c r="K17" s="49" t="s">
        <v>48</v>
      </c>
      <c r="L17" s="62"/>
      <c r="M17" s="62"/>
      <c r="N17" s="62"/>
      <c r="O17" s="62"/>
      <c r="P17" s="62"/>
      <c r="Q17" s="68"/>
      <c r="R17" s="62">
        <v>12.73</v>
      </c>
      <c r="S17" s="62"/>
      <c r="T17" s="62"/>
      <c r="U17" s="62"/>
      <c r="V17" s="62"/>
      <c r="W17" s="62"/>
      <c r="X17" s="62"/>
      <c r="Y17" s="62"/>
      <c r="Z17" s="62"/>
      <c r="AA17" s="62"/>
      <c r="AB17" s="63"/>
      <c r="AC17" s="54">
        <f t="shared" si="2"/>
        <v>12.73</v>
      </c>
      <c r="AD17" s="64"/>
    </row>
    <row r="18" spans="1:30" ht="14" x14ac:dyDescent="0.3">
      <c r="A18" s="42">
        <v>43922</v>
      </c>
      <c r="B18" s="43">
        <v>710</v>
      </c>
      <c r="C18" s="44" t="s">
        <v>43</v>
      </c>
      <c r="D18" s="43" t="s">
        <v>44</v>
      </c>
      <c r="E18" s="45" t="s">
        <v>67</v>
      </c>
      <c r="F18" s="45" t="s">
        <v>68</v>
      </c>
      <c r="G18" s="49" t="s">
        <v>69</v>
      </c>
      <c r="H18" s="46">
        <v>35.33</v>
      </c>
      <c r="I18" s="67">
        <v>212</v>
      </c>
      <c r="J18" s="48">
        <f t="shared" si="4"/>
        <v>212</v>
      </c>
      <c r="K18" s="69" t="s">
        <v>48</v>
      </c>
      <c r="L18" s="62"/>
      <c r="M18" s="62"/>
      <c r="N18" s="62">
        <v>176.67</v>
      </c>
      <c r="O18" s="62"/>
      <c r="P18" s="62"/>
      <c r="Q18" s="68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3"/>
      <c r="AC18" s="54">
        <f t="shared" si="2"/>
        <v>176.67</v>
      </c>
      <c r="AD18" s="64"/>
    </row>
    <row r="19" spans="1:30" ht="14" x14ac:dyDescent="0.3">
      <c r="A19" s="42">
        <v>43922</v>
      </c>
      <c r="B19" s="43">
        <v>710</v>
      </c>
      <c r="C19" s="44" t="s">
        <v>43</v>
      </c>
      <c r="D19" s="43" t="s">
        <v>44</v>
      </c>
      <c r="E19" s="45" t="s">
        <v>67</v>
      </c>
      <c r="F19" s="70" t="s">
        <v>70</v>
      </c>
      <c r="G19" s="71" t="s">
        <v>71</v>
      </c>
      <c r="H19" s="72">
        <v>10</v>
      </c>
      <c r="I19" s="73">
        <v>60</v>
      </c>
      <c r="J19" s="74">
        <f>+SUM(L19:AB19)+H19</f>
        <v>60</v>
      </c>
      <c r="K19" s="75" t="s">
        <v>48</v>
      </c>
      <c r="L19" s="76"/>
      <c r="M19" s="76"/>
      <c r="N19" s="76">
        <v>50</v>
      </c>
      <c r="O19" s="76"/>
      <c r="P19" s="76"/>
      <c r="Q19" s="77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8"/>
      <c r="AC19" s="54">
        <f t="shared" si="2"/>
        <v>50</v>
      </c>
      <c r="AD19" s="1"/>
    </row>
    <row r="20" spans="1:30" ht="14" x14ac:dyDescent="0.3">
      <c r="A20" s="42">
        <v>43922</v>
      </c>
      <c r="B20" s="79">
        <v>711</v>
      </c>
      <c r="C20" s="44" t="s">
        <v>43</v>
      </c>
      <c r="D20" s="80" t="s">
        <v>44</v>
      </c>
      <c r="E20" s="70" t="s">
        <v>72</v>
      </c>
      <c r="F20" s="70" t="s">
        <v>73</v>
      </c>
      <c r="G20" s="81" t="s">
        <v>74</v>
      </c>
      <c r="H20" s="72"/>
      <c r="I20" s="73">
        <v>288</v>
      </c>
      <c r="J20" s="74">
        <f>+SUM(L20:AB20)+H20</f>
        <v>288</v>
      </c>
      <c r="K20" s="75" t="s">
        <v>48</v>
      </c>
      <c r="L20" s="76"/>
      <c r="M20" s="76">
        <v>288</v>
      </c>
      <c r="N20" s="76"/>
      <c r="O20" s="76"/>
      <c r="P20" s="76"/>
      <c r="Q20" s="77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8"/>
      <c r="AC20" s="54">
        <f t="shared" si="2"/>
        <v>288</v>
      </c>
      <c r="AD20" s="1"/>
    </row>
    <row r="21" spans="1:30" ht="14" x14ac:dyDescent="0.3">
      <c r="A21" s="42">
        <v>43922</v>
      </c>
      <c r="B21" s="79">
        <v>712</v>
      </c>
      <c r="C21" s="44" t="s">
        <v>43</v>
      </c>
      <c r="D21" s="80" t="s">
        <v>44</v>
      </c>
      <c r="E21" s="70" t="s">
        <v>75</v>
      </c>
      <c r="F21" s="70" t="s">
        <v>76</v>
      </c>
      <c r="G21" s="82" t="s">
        <v>77</v>
      </c>
      <c r="H21" s="72">
        <v>48</v>
      </c>
      <c r="I21" s="73">
        <v>288</v>
      </c>
      <c r="J21" s="83">
        <f t="shared" ref="J21:J34" si="5">+SUM(L21:AB21)+H21</f>
        <v>288</v>
      </c>
      <c r="K21" s="71" t="s">
        <v>48</v>
      </c>
      <c r="L21" s="76"/>
      <c r="M21" s="76"/>
      <c r="N21" s="76">
        <v>240</v>
      </c>
      <c r="O21" s="76"/>
      <c r="P21" s="76"/>
      <c r="Q21" s="77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8"/>
      <c r="AC21" s="54">
        <f t="shared" si="2"/>
        <v>240</v>
      </c>
      <c r="AD21" s="1"/>
    </row>
    <row r="22" spans="1:30" ht="14" x14ac:dyDescent="0.3">
      <c r="A22" s="42">
        <v>43936</v>
      </c>
      <c r="B22" s="79" t="s">
        <v>78</v>
      </c>
      <c r="C22" s="44" t="s">
        <v>43</v>
      </c>
      <c r="D22" s="80" t="s">
        <v>44</v>
      </c>
      <c r="E22" s="84" t="s">
        <v>79</v>
      </c>
      <c r="F22" s="84" t="s">
        <v>80</v>
      </c>
      <c r="G22" s="85" t="s">
        <v>81</v>
      </c>
      <c r="H22" s="72">
        <v>2.09</v>
      </c>
      <c r="I22" s="86">
        <v>12.56</v>
      </c>
      <c r="J22" s="83">
        <f t="shared" si="5"/>
        <v>12.56</v>
      </c>
      <c r="K22" s="87" t="s">
        <v>48</v>
      </c>
      <c r="L22" s="88"/>
      <c r="M22" s="88">
        <v>10.47</v>
      </c>
      <c r="N22" s="88"/>
      <c r="O22" s="76"/>
      <c r="P22" s="76"/>
      <c r="Q22" s="77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8"/>
      <c r="AC22" s="54">
        <f t="shared" si="2"/>
        <v>10.47</v>
      </c>
      <c r="AD22" s="1"/>
    </row>
    <row r="23" spans="1:30" ht="14" x14ac:dyDescent="0.3">
      <c r="A23" s="89">
        <v>43956</v>
      </c>
      <c r="B23" s="79">
        <v>713</v>
      </c>
      <c r="C23" s="44" t="s">
        <v>49</v>
      </c>
      <c r="D23" s="80" t="s">
        <v>44</v>
      </c>
      <c r="E23" s="70" t="s">
        <v>45</v>
      </c>
      <c r="F23" s="70" t="s">
        <v>56</v>
      </c>
      <c r="G23" s="71" t="s">
        <v>57</v>
      </c>
      <c r="H23" s="72">
        <v>12.36</v>
      </c>
      <c r="I23" s="73">
        <f>159.17-85</f>
        <v>74.169999999999987</v>
      </c>
      <c r="J23" s="74">
        <f t="shared" si="5"/>
        <v>74.17</v>
      </c>
      <c r="K23" s="75" t="s">
        <v>48</v>
      </c>
      <c r="L23" s="76"/>
      <c r="M23" s="76"/>
      <c r="N23" s="76"/>
      <c r="O23" s="76"/>
      <c r="P23" s="76"/>
      <c r="Q23" s="77"/>
      <c r="R23" s="76"/>
      <c r="S23" s="76">
        <f>146.81-85</f>
        <v>61.81</v>
      </c>
      <c r="T23" s="76"/>
      <c r="U23" s="76"/>
      <c r="V23" s="76"/>
      <c r="W23" s="76"/>
      <c r="X23" s="76"/>
      <c r="Y23" s="76"/>
      <c r="Z23" s="76"/>
      <c r="AA23" s="76"/>
      <c r="AB23" s="78"/>
      <c r="AC23" s="54">
        <f t="shared" si="2"/>
        <v>61.81</v>
      </c>
      <c r="AD23" s="1"/>
    </row>
    <row r="24" spans="1:30" ht="14" x14ac:dyDescent="0.3">
      <c r="A24" s="89">
        <v>43956</v>
      </c>
      <c r="B24" s="79">
        <v>713</v>
      </c>
      <c r="C24" s="44" t="s">
        <v>49</v>
      </c>
      <c r="D24" s="80" t="s">
        <v>44</v>
      </c>
      <c r="E24" s="70" t="s">
        <v>45</v>
      </c>
      <c r="F24" s="70" t="s">
        <v>82</v>
      </c>
      <c r="G24" s="71" t="s">
        <v>83</v>
      </c>
      <c r="H24" s="72"/>
      <c r="I24" s="73">
        <v>85</v>
      </c>
      <c r="J24" s="74">
        <f t="shared" si="5"/>
        <v>85</v>
      </c>
      <c r="K24" s="75" t="s">
        <v>48</v>
      </c>
      <c r="L24" s="76"/>
      <c r="M24" s="76">
        <v>85</v>
      </c>
      <c r="N24" s="76"/>
      <c r="O24" s="76"/>
      <c r="P24" s="76"/>
      <c r="Q24" s="77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8"/>
      <c r="AC24" s="54">
        <f t="shared" si="2"/>
        <v>85</v>
      </c>
      <c r="AD24" s="1"/>
    </row>
    <row r="25" spans="1:30" ht="14" x14ac:dyDescent="0.3">
      <c r="A25" s="90">
        <v>43956</v>
      </c>
      <c r="B25" s="79">
        <v>714</v>
      </c>
      <c r="C25" s="44" t="s">
        <v>43</v>
      </c>
      <c r="D25" s="80" t="s">
        <v>44</v>
      </c>
      <c r="E25" s="70" t="s">
        <v>84</v>
      </c>
      <c r="F25" s="70" t="s">
        <v>85</v>
      </c>
      <c r="G25" s="71" t="s">
        <v>86</v>
      </c>
      <c r="H25" s="72">
        <v>38.200000000000003</v>
      </c>
      <c r="I25" s="73">
        <v>229.2</v>
      </c>
      <c r="J25" s="74">
        <f>+SUM(L25:AB25)+H25</f>
        <v>229.2</v>
      </c>
      <c r="K25" s="75" t="s">
        <v>48</v>
      </c>
      <c r="L25" s="76"/>
      <c r="M25" s="76">
        <v>191</v>
      </c>
      <c r="N25" s="76"/>
      <c r="O25" s="76"/>
      <c r="P25" s="76"/>
      <c r="Q25" s="77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8"/>
      <c r="AC25" s="54">
        <f t="shared" si="2"/>
        <v>191</v>
      </c>
      <c r="AD25" s="1"/>
    </row>
    <row r="26" spans="1:30" ht="14" x14ac:dyDescent="0.3">
      <c r="A26" s="90">
        <v>43956</v>
      </c>
      <c r="B26" s="79">
        <v>715</v>
      </c>
      <c r="C26" s="44" t="s">
        <v>43</v>
      </c>
      <c r="D26" s="80" t="s">
        <v>44</v>
      </c>
      <c r="E26" s="70" t="s">
        <v>87</v>
      </c>
      <c r="F26" s="70" t="s">
        <v>88</v>
      </c>
      <c r="G26" s="91" t="s">
        <v>71</v>
      </c>
      <c r="H26" s="72">
        <v>17.899999999999999</v>
      </c>
      <c r="I26" s="73">
        <v>107.4</v>
      </c>
      <c r="J26" s="83">
        <f t="shared" si="5"/>
        <v>107.4</v>
      </c>
      <c r="K26" s="75" t="s">
        <v>48</v>
      </c>
      <c r="L26" s="76"/>
      <c r="M26" s="76"/>
      <c r="N26" s="76">
        <v>89.5</v>
      </c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8"/>
      <c r="AC26" s="54">
        <f t="shared" si="2"/>
        <v>89.5</v>
      </c>
      <c r="AD26" s="1"/>
    </row>
    <row r="27" spans="1:30" ht="14" x14ac:dyDescent="0.3">
      <c r="A27" s="90">
        <v>43956</v>
      </c>
      <c r="B27" s="79">
        <v>716</v>
      </c>
      <c r="C27" s="44" t="s">
        <v>43</v>
      </c>
      <c r="D27" s="80" t="s">
        <v>44</v>
      </c>
      <c r="E27" s="45" t="s">
        <v>67</v>
      </c>
      <c r="F27" s="45" t="s">
        <v>68</v>
      </c>
      <c r="G27" s="49" t="s">
        <v>69</v>
      </c>
      <c r="H27" s="46">
        <v>35.33</v>
      </c>
      <c r="I27" s="67">
        <v>212</v>
      </c>
      <c r="J27" s="48">
        <f t="shared" si="5"/>
        <v>212</v>
      </c>
      <c r="K27" s="69" t="s">
        <v>48</v>
      </c>
      <c r="L27" s="62"/>
      <c r="M27" s="62"/>
      <c r="N27" s="62">
        <v>176.67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8"/>
      <c r="AC27" s="54">
        <f t="shared" si="2"/>
        <v>176.67</v>
      </c>
      <c r="AD27" s="1"/>
    </row>
    <row r="28" spans="1:30" ht="14" x14ac:dyDescent="0.3">
      <c r="A28" s="90">
        <v>43956</v>
      </c>
      <c r="B28" s="79">
        <v>717</v>
      </c>
      <c r="C28" s="44" t="s">
        <v>43</v>
      </c>
      <c r="D28" s="80" t="s">
        <v>44</v>
      </c>
      <c r="E28" s="70" t="s">
        <v>89</v>
      </c>
      <c r="F28" s="70" t="s">
        <v>90</v>
      </c>
      <c r="G28" s="71" t="s">
        <v>91</v>
      </c>
      <c r="H28" s="72">
        <v>3.83</v>
      </c>
      <c r="I28" s="73">
        <v>22.96</v>
      </c>
      <c r="J28" s="74">
        <f t="shared" si="5"/>
        <v>22.96</v>
      </c>
      <c r="K28" s="75" t="s">
        <v>48</v>
      </c>
      <c r="L28" s="76"/>
      <c r="M28" s="76"/>
      <c r="N28" s="76"/>
      <c r="O28" s="76">
        <v>19.13</v>
      </c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8"/>
      <c r="AC28" s="54">
        <f t="shared" si="2"/>
        <v>19.13</v>
      </c>
      <c r="AD28" s="1"/>
    </row>
    <row r="29" spans="1:30" ht="14" x14ac:dyDescent="0.3">
      <c r="A29" s="90">
        <v>43956</v>
      </c>
      <c r="B29" s="79">
        <v>718</v>
      </c>
      <c r="C29" s="44" t="s">
        <v>43</v>
      </c>
      <c r="D29" s="80" t="s">
        <v>44</v>
      </c>
      <c r="E29" s="70" t="s">
        <v>92</v>
      </c>
      <c r="F29" s="70" t="s">
        <v>93</v>
      </c>
      <c r="G29" s="71" t="s">
        <v>91</v>
      </c>
      <c r="H29" s="72">
        <f>15.59+15.5+7.21</f>
        <v>38.299999999999997</v>
      </c>
      <c r="I29" s="73">
        <f>43.26+93+93.54-1</f>
        <v>228.8</v>
      </c>
      <c r="J29" s="83">
        <f>+SUM(L29:AB29)+H29</f>
        <v>228.8</v>
      </c>
      <c r="K29" s="75" t="s">
        <v>48</v>
      </c>
      <c r="L29" s="76"/>
      <c r="M29" s="76"/>
      <c r="N29" s="76"/>
      <c r="O29" s="92">
        <f>191.5-1</f>
        <v>190.5</v>
      </c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8"/>
      <c r="AC29" s="54">
        <f t="shared" si="2"/>
        <v>190.5</v>
      </c>
      <c r="AD29" s="1"/>
    </row>
    <row r="30" spans="1:30" ht="14" x14ac:dyDescent="0.3">
      <c r="A30" s="90">
        <v>43977</v>
      </c>
      <c r="B30" s="79" t="s">
        <v>78</v>
      </c>
      <c r="C30" s="44" t="s">
        <v>43</v>
      </c>
      <c r="D30" s="80" t="s">
        <v>44</v>
      </c>
      <c r="E30" s="70" t="s">
        <v>94</v>
      </c>
      <c r="F30" s="70" t="s">
        <v>95</v>
      </c>
      <c r="G30" s="71" t="s">
        <v>96</v>
      </c>
      <c r="H30" s="72"/>
      <c r="I30" s="73">
        <v>35</v>
      </c>
      <c r="J30" s="83">
        <f>+SUM(L30:AB30)+H30</f>
        <v>35</v>
      </c>
      <c r="K30" s="93" t="s">
        <v>48</v>
      </c>
      <c r="L30" s="76"/>
      <c r="M30" s="76">
        <v>35</v>
      </c>
      <c r="N30" s="76"/>
      <c r="O30" s="92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8"/>
      <c r="AC30" s="54">
        <f t="shared" si="2"/>
        <v>35</v>
      </c>
      <c r="AD30" s="1"/>
    </row>
    <row r="31" spans="1:30" ht="14" x14ac:dyDescent="0.3">
      <c r="A31" s="90">
        <v>43983</v>
      </c>
      <c r="B31" s="79">
        <v>725</v>
      </c>
      <c r="C31" s="44" t="s">
        <v>43</v>
      </c>
      <c r="D31" s="80" t="s">
        <v>44</v>
      </c>
      <c r="E31" s="70" t="s">
        <v>92</v>
      </c>
      <c r="F31" s="70" t="s">
        <v>97</v>
      </c>
      <c r="G31" s="71" t="s">
        <v>91</v>
      </c>
      <c r="H31" s="72"/>
      <c r="I31" s="73">
        <v>1</v>
      </c>
      <c r="J31" s="83">
        <f t="shared" ref="J31" si="6">+SUM(L31:AB31)+H31</f>
        <v>1</v>
      </c>
      <c r="K31" s="93" t="s">
        <v>48</v>
      </c>
      <c r="L31" s="76"/>
      <c r="M31" s="76"/>
      <c r="N31" s="76"/>
      <c r="O31" s="76">
        <v>1</v>
      </c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8"/>
      <c r="AC31" s="54">
        <f t="shared" si="2"/>
        <v>1</v>
      </c>
      <c r="AD31" s="1"/>
    </row>
    <row r="32" spans="1:30" ht="14" x14ac:dyDescent="0.3">
      <c r="A32" s="90">
        <v>43983</v>
      </c>
      <c r="B32" s="79">
        <v>719</v>
      </c>
      <c r="C32" s="44" t="s">
        <v>98</v>
      </c>
      <c r="D32" s="80" t="s">
        <v>44</v>
      </c>
      <c r="E32" s="70" t="s">
        <v>99</v>
      </c>
      <c r="F32" s="70" t="s">
        <v>100</v>
      </c>
      <c r="G32" s="71" t="s">
        <v>101</v>
      </c>
      <c r="H32" s="72"/>
      <c r="I32" s="73">
        <v>310</v>
      </c>
      <c r="J32" s="83">
        <f>+SUM(L32:AB32)+H32</f>
        <v>310</v>
      </c>
      <c r="K32" s="93" t="s">
        <v>48</v>
      </c>
      <c r="L32" s="76"/>
      <c r="M32" s="76"/>
      <c r="N32" s="76"/>
      <c r="O32" s="76"/>
      <c r="P32" s="76"/>
      <c r="Q32" s="76">
        <v>310</v>
      </c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8"/>
      <c r="AC32" s="54">
        <f t="shared" si="2"/>
        <v>310</v>
      </c>
      <c r="AD32" s="1"/>
    </row>
    <row r="33" spans="1:30" ht="14" x14ac:dyDescent="0.3">
      <c r="A33" s="90">
        <v>43983</v>
      </c>
      <c r="B33" s="79">
        <v>720</v>
      </c>
      <c r="C33" s="44" t="s">
        <v>43</v>
      </c>
      <c r="D33" s="80" t="s">
        <v>44</v>
      </c>
      <c r="E33" s="70" t="s">
        <v>102</v>
      </c>
      <c r="F33" s="70" t="s">
        <v>103</v>
      </c>
      <c r="G33" s="91" t="s">
        <v>104</v>
      </c>
      <c r="H33" s="72"/>
      <c r="I33" s="73">
        <v>543.24</v>
      </c>
      <c r="J33" s="83">
        <f t="shared" si="5"/>
        <v>543.24</v>
      </c>
      <c r="K33" s="93" t="s">
        <v>48</v>
      </c>
      <c r="L33" s="76"/>
      <c r="M33" s="76"/>
      <c r="N33" s="76"/>
      <c r="O33" s="76"/>
      <c r="P33" s="76">
        <v>543.24</v>
      </c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8"/>
      <c r="AC33" s="54">
        <f t="shared" si="2"/>
        <v>543.24</v>
      </c>
      <c r="AD33" s="1"/>
    </row>
    <row r="34" spans="1:30" ht="14" x14ac:dyDescent="0.3">
      <c r="A34" s="90"/>
      <c r="B34" s="79">
        <v>721</v>
      </c>
      <c r="C34" s="44"/>
      <c r="D34" s="80" t="s">
        <v>44</v>
      </c>
      <c r="E34" s="70" t="s">
        <v>105</v>
      </c>
      <c r="F34" s="70"/>
      <c r="G34" s="71"/>
      <c r="H34" s="72"/>
      <c r="I34" s="73"/>
      <c r="J34" s="83">
        <f t="shared" si="5"/>
        <v>0</v>
      </c>
      <c r="K34" s="93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8"/>
      <c r="AC34" s="54">
        <f t="shared" si="2"/>
        <v>0</v>
      </c>
      <c r="AD34" s="1"/>
    </row>
    <row r="35" spans="1:30" ht="14" x14ac:dyDescent="0.3">
      <c r="A35" s="90">
        <v>43983</v>
      </c>
      <c r="B35" s="79">
        <v>722</v>
      </c>
      <c r="C35" s="44" t="s">
        <v>106</v>
      </c>
      <c r="D35" s="80" t="s">
        <v>44</v>
      </c>
      <c r="E35" s="70" t="s">
        <v>107</v>
      </c>
      <c r="F35" s="70" t="s">
        <v>108</v>
      </c>
      <c r="G35" s="71" t="s">
        <v>57</v>
      </c>
      <c r="H35" s="72">
        <v>30.19</v>
      </c>
      <c r="I35" s="73">
        <v>181.14</v>
      </c>
      <c r="J35" s="83">
        <f>+SUM(L35:AB35)+H35</f>
        <v>181.14</v>
      </c>
      <c r="K35" s="93" t="s">
        <v>48</v>
      </c>
      <c r="L35" s="76"/>
      <c r="M35" s="76"/>
      <c r="N35" s="76"/>
      <c r="O35" s="76"/>
      <c r="P35" s="76"/>
      <c r="Q35" s="76"/>
      <c r="R35" s="76"/>
      <c r="S35" s="76">
        <v>150.94999999999999</v>
      </c>
      <c r="T35" s="76"/>
      <c r="U35" s="76"/>
      <c r="V35" s="76"/>
      <c r="W35" s="76"/>
      <c r="X35" s="76"/>
      <c r="Y35" s="76"/>
      <c r="Z35" s="76"/>
      <c r="AA35" s="76"/>
      <c r="AB35" s="78"/>
      <c r="AC35" s="54">
        <f t="shared" si="2"/>
        <v>150.94999999999999</v>
      </c>
      <c r="AD35" s="1"/>
    </row>
    <row r="36" spans="1:30" ht="14" x14ac:dyDescent="0.3">
      <c r="A36" s="90">
        <v>43983</v>
      </c>
      <c r="B36" s="79">
        <v>723</v>
      </c>
      <c r="C36" s="44" t="s">
        <v>106</v>
      </c>
      <c r="D36" s="80" t="s">
        <v>44</v>
      </c>
      <c r="E36" s="70" t="s">
        <v>75</v>
      </c>
      <c r="F36" s="70" t="s">
        <v>109</v>
      </c>
      <c r="G36" s="71" t="s">
        <v>110</v>
      </c>
      <c r="H36" s="72">
        <v>366.4</v>
      </c>
      <c r="I36" s="73">
        <v>2198.4</v>
      </c>
      <c r="J36" s="83">
        <f t="shared" ref="J36:J39" si="7">+SUM(L36:AB36)+H36</f>
        <v>2198.4</v>
      </c>
      <c r="K36" s="93" t="s">
        <v>48</v>
      </c>
      <c r="L36" s="76"/>
      <c r="M36" s="76"/>
      <c r="N36" s="76">
        <v>1832</v>
      </c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8"/>
      <c r="AC36" s="54">
        <f t="shared" si="2"/>
        <v>1832</v>
      </c>
      <c r="AD36" s="1"/>
    </row>
    <row r="37" spans="1:30" ht="14" x14ac:dyDescent="0.3">
      <c r="A37" s="90">
        <v>43983</v>
      </c>
      <c r="B37" s="79">
        <v>724</v>
      </c>
      <c r="C37" s="44" t="s">
        <v>43</v>
      </c>
      <c r="D37" s="80" t="s">
        <v>44</v>
      </c>
      <c r="E37" s="70" t="s">
        <v>67</v>
      </c>
      <c r="F37" s="70" t="s">
        <v>68</v>
      </c>
      <c r="G37" s="49" t="s">
        <v>69</v>
      </c>
      <c r="H37" s="46">
        <v>35.33</v>
      </c>
      <c r="I37" s="67">
        <v>212</v>
      </c>
      <c r="J37" s="48">
        <f t="shared" si="7"/>
        <v>212</v>
      </c>
      <c r="K37" s="69" t="s">
        <v>48</v>
      </c>
      <c r="L37" s="62"/>
      <c r="M37" s="62"/>
      <c r="N37" s="62">
        <v>176.67</v>
      </c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8"/>
      <c r="AC37" s="54">
        <f t="shared" si="2"/>
        <v>176.67</v>
      </c>
      <c r="AD37" s="1"/>
    </row>
    <row r="38" spans="1:30" ht="14" x14ac:dyDescent="0.3">
      <c r="A38" s="90">
        <v>43983</v>
      </c>
      <c r="B38" s="79">
        <v>724</v>
      </c>
      <c r="C38" s="44" t="s">
        <v>106</v>
      </c>
      <c r="D38" s="80" t="s">
        <v>44</v>
      </c>
      <c r="E38" s="70" t="s">
        <v>67</v>
      </c>
      <c r="F38" s="70" t="s">
        <v>111</v>
      </c>
      <c r="G38" s="71" t="s">
        <v>110</v>
      </c>
      <c r="H38" s="72">
        <v>17</v>
      </c>
      <c r="I38" s="73">
        <v>102</v>
      </c>
      <c r="J38" s="83">
        <f t="shared" si="7"/>
        <v>102</v>
      </c>
      <c r="K38" s="93" t="s">
        <v>48</v>
      </c>
      <c r="L38" s="76"/>
      <c r="M38" s="76"/>
      <c r="N38" s="76">
        <v>85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8"/>
      <c r="AC38" s="54">
        <f t="shared" si="2"/>
        <v>85</v>
      </c>
      <c r="AD38" s="1"/>
    </row>
    <row r="39" spans="1:30" ht="14" x14ac:dyDescent="0.3">
      <c r="A39" s="90">
        <v>43983</v>
      </c>
      <c r="B39" s="79">
        <v>725</v>
      </c>
      <c r="C39" s="44" t="s">
        <v>43</v>
      </c>
      <c r="D39" s="80" t="s">
        <v>44</v>
      </c>
      <c r="E39" s="84" t="s">
        <v>92</v>
      </c>
      <c r="F39" s="84" t="s">
        <v>93</v>
      </c>
      <c r="G39" s="94" t="s">
        <v>91</v>
      </c>
      <c r="H39" s="72">
        <v>25.52</v>
      </c>
      <c r="I39" s="73">
        <v>153.12</v>
      </c>
      <c r="J39" s="83">
        <f t="shared" si="7"/>
        <v>153.12</v>
      </c>
      <c r="K39" s="93" t="s">
        <v>48</v>
      </c>
      <c r="L39" s="76"/>
      <c r="M39" s="76"/>
      <c r="N39" s="76"/>
      <c r="O39" s="76">
        <v>127.6</v>
      </c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8"/>
      <c r="AC39" s="54">
        <f t="shared" si="2"/>
        <v>127.6</v>
      </c>
      <c r="AD39" s="1"/>
    </row>
    <row r="40" spans="1:30" ht="14" x14ac:dyDescent="0.3">
      <c r="A40" s="90"/>
      <c r="B40" s="79"/>
      <c r="C40" s="44"/>
      <c r="D40" s="80" t="s">
        <v>44</v>
      </c>
      <c r="E40" s="84"/>
      <c r="F40" s="84"/>
      <c r="G40" s="81"/>
      <c r="H40" s="72"/>
      <c r="I40" s="73"/>
      <c r="J40" s="83">
        <f>+SUM(L40:AB40)+H40</f>
        <v>0</v>
      </c>
      <c r="K40" s="75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54">
        <f t="shared" si="2"/>
        <v>0</v>
      </c>
      <c r="AD40" s="1"/>
    </row>
    <row r="41" spans="1:30" ht="14" x14ac:dyDescent="0.3">
      <c r="A41" s="90"/>
      <c r="B41" s="79"/>
      <c r="C41" s="44"/>
      <c r="D41" s="80" t="s">
        <v>44</v>
      </c>
      <c r="E41" s="84"/>
      <c r="F41" s="84"/>
      <c r="G41" s="82"/>
      <c r="H41" s="72"/>
      <c r="I41" s="73"/>
      <c r="J41" s="83">
        <f t="shared" ref="J41:J42" si="8">+SUM(L41:AB41)+H41</f>
        <v>0</v>
      </c>
      <c r="K41" s="71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8"/>
      <c r="AC41" s="54">
        <f t="shared" si="2"/>
        <v>0</v>
      </c>
      <c r="AD41" s="1"/>
    </row>
    <row r="42" spans="1:30" s="56" customFormat="1" ht="14" x14ac:dyDescent="0.3">
      <c r="A42" s="95"/>
      <c r="B42" s="96"/>
      <c r="C42" s="97"/>
      <c r="D42" s="80" t="s">
        <v>44</v>
      </c>
      <c r="E42" s="98"/>
      <c r="F42" s="98"/>
      <c r="G42" s="99"/>
      <c r="H42" s="100"/>
      <c r="I42" s="101"/>
      <c r="J42" s="83">
        <f t="shared" si="8"/>
        <v>0</v>
      </c>
      <c r="K42" s="102"/>
      <c r="L42" s="103"/>
      <c r="M42" s="103"/>
      <c r="N42" s="103"/>
      <c r="O42" s="104"/>
      <c r="P42" s="105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7"/>
      <c r="AC42" s="54">
        <f t="shared" si="2"/>
        <v>0</v>
      </c>
      <c r="AD42" s="108"/>
    </row>
    <row r="43" spans="1:30" ht="14.5" thickBot="1" x14ac:dyDescent="0.35">
      <c r="A43" s="109"/>
      <c r="B43" s="110"/>
      <c r="C43" s="111"/>
      <c r="D43" s="109"/>
      <c r="E43" s="109"/>
      <c r="F43" s="109" t="s">
        <v>112</v>
      </c>
      <c r="G43" s="109"/>
      <c r="H43" s="112">
        <f>+SUM(H10:H42)</f>
        <v>746.97</v>
      </c>
      <c r="I43" s="112">
        <f>+SUM(I10:I42)</f>
        <v>8256.7200000000012</v>
      </c>
      <c r="J43" s="112">
        <f>+SUM(J10:J42)</f>
        <v>8256.7200000000012</v>
      </c>
      <c r="K43" s="112">
        <f t="shared" ref="K43:AB43" si="9">+SUM(K10:K41)</f>
        <v>0</v>
      </c>
      <c r="L43" s="112">
        <f t="shared" si="9"/>
        <v>2428.8000000000002</v>
      </c>
      <c r="M43" s="112">
        <f t="shared" si="9"/>
        <v>756.16000000000008</v>
      </c>
      <c r="N43" s="112">
        <f t="shared" si="9"/>
        <v>2826.51</v>
      </c>
      <c r="O43" s="112">
        <f t="shared" si="9"/>
        <v>338.23</v>
      </c>
      <c r="P43" s="112">
        <f>+SUM(P10:P42)</f>
        <v>543.24</v>
      </c>
      <c r="Q43" s="112">
        <f t="shared" si="9"/>
        <v>310</v>
      </c>
      <c r="R43" s="112">
        <f t="shared" si="9"/>
        <v>12.73</v>
      </c>
      <c r="S43" s="112">
        <f t="shared" si="9"/>
        <v>294.08</v>
      </c>
      <c r="T43" s="112">
        <f t="shared" si="9"/>
        <v>0</v>
      </c>
      <c r="U43" s="112">
        <f t="shared" si="9"/>
        <v>0</v>
      </c>
      <c r="V43" s="112">
        <f t="shared" si="9"/>
        <v>0</v>
      </c>
      <c r="W43" s="112">
        <f t="shared" si="9"/>
        <v>0</v>
      </c>
      <c r="X43" s="112">
        <f t="shared" si="9"/>
        <v>0</v>
      </c>
      <c r="Y43" s="112">
        <f t="shared" si="9"/>
        <v>0</v>
      </c>
      <c r="Z43" s="112">
        <f t="shared" si="9"/>
        <v>0</v>
      </c>
      <c r="AA43" s="112">
        <f t="shared" si="9"/>
        <v>0</v>
      </c>
      <c r="AB43" s="113">
        <f t="shared" si="9"/>
        <v>0</v>
      </c>
      <c r="AC43" s="54">
        <f t="shared" ref="AC43:AC106" si="10">SUM(L43:AB43)</f>
        <v>7509.75</v>
      </c>
      <c r="AD43" s="1"/>
    </row>
    <row r="44" spans="1:30" ht="14" x14ac:dyDescent="0.3">
      <c r="A44" s="114"/>
      <c r="B44" s="115"/>
      <c r="C44" s="116"/>
      <c r="D44" s="114"/>
      <c r="E44" s="114"/>
      <c r="F44" s="114"/>
      <c r="G44" s="114"/>
      <c r="H44" s="117"/>
      <c r="I44" s="118"/>
      <c r="J44" s="119"/>
      <c r="K44" s="120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2"/>
      <c r="AC44" s="54">
        <f t="shared" si="10"/>
        <v>0</v>
      </c>
      <c r="AD44" s="1"/>
    </row>
    <row r="45" spans="1:30" ht="14" x14ac:dyDescent="0.3">
      <c r="A45" s="21" t="s">
        <v>18</v>
      </c>
      <c r="B45" s="21" t="s">
        <v>19</v>
      </c>
      <c r="C45" s="22" t="s">
        <v>113</v>
      </c>
      <c r="D45" s="21" t="s">
        <v>21</v>
      </c>
      <c r="E45" s="21" t="s">
        <v>22</v>
      </c>
      <c r="F45" s="21" t="s">
        <v>23</v>
      </c>
      <c r="G45" s="21"/>
      <c r="H45" s="23" t="s">
        <v>4</v>
      </c>
      <c r="I45" s="24" t="s">
        <v>26</v>
      </c>
      <c r="J45" s="123" t="s">
        <v>27</v>
      </c>
      <c r="K45" s="124" t="s">
        <v>28</v>
      </c>
      <c r="L45" s="21" t="str">
        <f>L7</f>
        <v>STAFF COSTS</v>
      </c>
      <c r="M45" s="21" t="str">
        <f t="shared" ref="M45:AB45" si="11">M7</f>
        <v>ADMINISTRATION COSTS</v>
      </c>
      <c r="N45" s="21" t="str">
        <f t="shared" si="11"/>
        <v>PARK &amp; OPEN SPACES</v>
      </c>
      <c r="O45" s="21" t="str">
        <f t="shared" si="11"/>
        <v>CHURCHYARD</v>
      </c>
      <c r="P45" s="21" t="str">
        <f t="shared" si="11"/>
        <v>SUBSCRIPTIONS</v>
      </c>
      <c r="Q45" s="21" t="str">
        <f t="shared" si="11"/>
        <v xml:space="preserve">GRANTS &amp; DONATIONS </v>
      </c>
      <c r="R45" s="21" t="str">
        <f t="shared" si="11"/>
        <v>OTHER</v>
      </c>
      <c r="S45" s="21" t="str">
        <f t="shared" si="11"/>
        <v>CONTINGENCY</v>
      </c>
      <c r="T45" s="21" t="str">
        <f t="shared" si="11"/>
        <v>EARMARKED RESERVE FUNDS</v>
      </c>
      <c r="U45" s="21" t="str">
        <f t="shared" si="11"/>
        <v xml:space="preserve">CAPITAL </v>
      </c>
      <c r="V45" s="21">
        <f t="shared" si="11"/>
        <v>0</v>
      </c>
      <c r="W45" s="21">
        <f t="shared" si="11"/>
        <v>0</v>
      </c>
      <c r="X45" s="21">
        <f t="shared" si="11"/>
        <v>0</v>
      </c>
      <c r="Y45" s="21" t="str">
        <f t="shared" si="11"/>
        <v>Cap Project</v>
      </c>
      <c r="Z45" s="21" t="str">
        <f t="shared" si="11"/>
        <v>Cap Project</v>
      </c>
      <c r="AA45" s="21" t="str">
        <f t="shared" si="11"/>
        <v>Cap Project</v>
      </c>
      <c r="AB45" s="125" t="str">
        <f t="shared" si="11"/>
        <v>Other</v>
      </c>
      <c r="AC45" s="54">
        <f t="shared" si="10"/>
        <v>0</v>
      </c>
      <c r="AD45" s="1"/>
    </row>
    <row r="46" spans="1:30" ht="14.5" thickBot="1" x14ac:dyDescent="0.35">
      <c r="A46" s="29"/>
      <c r="B46" s="29"/>
      <c r="C46" s="30" t="s">
        <v>32</v>
      </c>
      <c r="D46" s="29"/>
      <c r="E46" s="29"/>
      <c r="F46" s="29"/>
      <c r="G46" s="29"/>
      <c r="H46" s="31"/>
      <c r="I46" s="32"/>
      <c r="J46" s="33" t="s">
        <v>26</v>
      </c>
      <c r="K46" s="34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126"/>
      <c r="AC46" s="54">
        <f t="shared" si="10"/>
        <v>0</v>
      </c>
      <c r="AD46" s="1"/>
    </row>
    <row r="47" spans="1:30" ht="14" x14ac:dyDescent="0.3">
      <c r="A47" s="127"/>
      <c r="B47" s="128"/>
      <c r="C47" s="129"/>
      <c r="D47" s="130"/>
      <c r="E47" s="130"/>
      <c r="F47" s="130"/>
      <c r="G47" s="130"/>
      <c r="H47" s="38"/>
      <c r="I47" s="131"/>
      <c r="J47" s="132"/>
      <c r="K47" s="133"/>
      <c r="L47" s="36" t="s">
        <v>8</v>
      </c>
      <c r="M47" s="36" t="s">
        <v>9</v>
      </c>
      <c r="N47" s="36" t="s">
        <v>10</v>
      </c>
      <c r="O47" s="36" t="s">
        <v>11</v>
      </c>
      <c r="P47" s="36" t="s">
        <v>12</v>
      </c>
      <c r="Q47" s="36" t="s">
        <v>13</v>
      </c>
      <c r="R47" s="36" t="s">
        <v>14</v>
      </c>
      <c r="S47" s="36" t="s">
        <v>15</v>
      </c>
      <c r="T47" s="36" t="s">
        <v>16</v>
      </c>
      <c r="U47" s="36" t="s">
        <v>17</v>
      </c>
      <c r="V47" s="36" t="s">
        <v>36</v>
      </c>
      <c r="W47" s="36" t="s">
        <v>37</v>
      </c>
      <c r="X47" s="36" t="s">
        <v>38</v>
      </c>
      <c r="Y47" s="36" t="s">
        <v>39</v>
      </c>
      <c r="Z47" s="36" t="s">
        <v>40</v>
      </c>
      <c r="AA47" s="36" t="s">
        <v>41</v>
      </c>
      <c r="AB47" s="134" t="s">
        <v>42</v>
      </c>
      <c r="AC47" s="54">
        <f t="shared" si="10"/>
        <v>0</v>
      </c>
      <c r="AD47" s="1"/>
    </row>
    <row r="48" spans="1:30" ht="14" x14ac:dyDescent="0.3">
      <c r="A48" s="90">
        <v>44018</v>
      </c>
      <c r="B48" s="79">
        <v>726</v>
      </c>
      <c r="C48" s="44" t="s">
        <v>43</v>
      </c>
      <c r="D48" s="70" t="s">
        <v>114</v>
      </c>
      <c r="E48" s="45" t="s">
        <v>45</v>
      </c>
      <c r="F48" s="45" t="s">
        <v>46</v>
      </c>
      <c r="G48" s="43" t="s">
        <v>47</v>
      </c>
      <c r="H48" s="46"/>
      <c r="I48" s="47">
        <v>2239.89</v>
      </c>
      <c r="J48" s="135">
        <v>2239.89</v>
      </c>
      <c r="K48" s="49" t="s">
        <v>48</v>
      </c>
      <c r="L48" s="50">
        <v>2239.89</v>
      </c>
      <c r="M48" s="51"/>
      <c r="N48" s="51"/>
      <c r="O48" s="51"/>
      <c r="P48" s="51"/>
      <c r="Q48" s="51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136"/>
      <c r="AC48" s="54">
        <f t="shared" si="10"/>
        <v>2239.89</v>
      </c>
      <c r="AD48" s="1"/>
    </row>
    <row r="49" spans="1:30" ht="14" x14ac:dyDescent="0.3">
      <c r="A49" s="90">
        <v>44018</v>
      </c>
      <c r="B49" s="79">
        <v>726</v>
      </c>
      <c r="C49" s="44" t="s">
        <v>49</v>
      </c>
      <c r="D49" s="70" t="s">
        <v>114</v>
      </c>
      <c r="E49" s="45" t="s">
        <v>45</v>
      </c>
      <c r="F49" s="45" t="s">
        <v>50</v>
      </c>
      <c r="G49" s="43" t="s">
        <v>51</v>
      </c>
      <c r="H49" s="46">
        <v>4.2</v>
      </c>
      <c r="I49" s="47">
        <v>25.2</v>
      </c>
      <c r="J49" s="135">
        <f t="shared" ref="J49" si="12">+SUM(L49:AB49)+H49</f>
        <v>25.2</v>
      </c>
      <c r="K49" s="49" t="s">
        <v>48</v>
      </c>
      <c r="L49" s="51"/>
      <c r="M49" s="51">
        <v>21</v>
      </c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7"/>
      <c r="Y49" s="57"/>
      <c r="Z49" s="57"/>
      <c r="AA49" s="57"/>
      <c r="AB49" s="78"/>
      <c r="AC49" s="54">
        <f t="shared" si="10"/>
        <v>21</v>
      </c>
      <c r="AD49" s="1"/>
    </row>
    <row r="50" spans="1:30" ht="14" x14ac:dyDescent="0.3">
      <c r="A50" s="90">
        <v>44018</v>
      </c>
      <c r="B50" s="79">
        <v>726</v>
      </c>
      <c r="C50" s="44" t="s">
        <v>49</v>
      </c>
      <c r="D50" s="70" t="s">
        <v>114</v>
      </c>
      <c r="E50" s="45" t="s">
        <v>45</v>
      </c>
      <c r="F50" s="45" t="s">
        <v>52</v>
      </c>
      <c r="G50" s="61" t="s">
        <v>53</v>
      </c>
      <c r="H50" s="46"/>
      <c r="I50" s="47">
        <v>50.8</v>
      </c>
      <c r="J50" s="135">
        <v>50.8</v>
      </c>
      <c r="K50" s="49" t="s">
        <v>48</v>
      </c>
      <c r="L50" s="51"/>
      <c r="M50" s="51">
        <v>50.8</v>
      </c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62"/>
      <c r="Y50" s="62"/>
      <c r="Z50" s="62"/>
      <c r="AA50" s="62"/>
      <c r="AB50" s="78"/>
      <c r="AC50" s="54">
        <f t="shared" si="10"/>
        <v>50.8</v>
      </c>
      <c r="AD50" s="1"/>
    </row>
    <row r="51" spans="1:30" ht="14.5" thickBot="1" x14ac:dyDescent="0.35">
      <c r="A51" s="90">
        <v>44018</v>
      </c>
      <c r="B51" s="79">
        <v>726</v>
      </c>
      <c r="C51" s="137" t="s">
        <v>49</v>
      </c>
      <c r="D51" s="70" t="s">
        <v>114</v>
      </c>
      <c r="E51" s="45" t="s">
        <v>45</v>
      </c>
      <c r="F51" s="45" t="s">
        <v>115</v>
      </c>
      <c r="G51" s="61" t="s">
        <v>74</v>
      </c>
      <c r="H51" s="46">
        <f>2.4+2.4</f>
        <v>4.8</v>
      </c>
      <c r="I51" s="47">
        <f>14.39+14.39</f>
        <v>28.78</v>
      </c>
      <c r="J51" s="135">
        <f t="shared" ref="J51:J52" si="13">+SUM(L51:AB51)+H51</f>
        <v>28.78</v>
      </c>
      <c r="K51" s="49" t="s">
        <v>48</v>
      </c>
      <c r="L51" s="51"/>
      <c r="M51" s="51">
        <f>11.99+11.99</f>
        <v>23.98</v>
      </c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62"/>
      <c r="Y51" s="62"/>
      <c r="Z51" s="62"/>
      <c r="AA51" s="62"/>
      <c r="AB51" s="78"/>
      <c r="AC51" s="54">
        <f t="shared" si="10"/>
        <v>23.98</v>
      </c>
      <c r="AD51" s="1"/>
    </row>
    <row r="52" spans="1:30" ht="14.5" thickTop="1" x14ac:dyDescent="0.3">
      <c r="A52" s="90">
        <v>44018</v>
      </c>
      <c r="B52" s="79">
        <v>726</v>
      </c>
      <c r="C52" s="137" t="s">
        <v>49</v>
      </c>
      <c r="D52" s="70" t="s">
        <v>114</v>
      </c>
      <c r="E52" s="45" t="s">
        <v>45</v>
      </c>
      <c r="F52" s="65" t="s">
        <v>56</v>
      </c>
      <c r="G52" s="43" t="s">
        <v>57</v>
      </c>
      <c r="H52" s="46">
        <f>1.67+1.33</f>
        <v>3</v>
      </c>
      <c r="I52" s="47">
        <f>31.96+9.99+9.19+8</f>
        <v>59.14</v>
      </c>
      <c r="J52" s="135">
        <f t="shared" si="13"/>
        <v>59.14</v>
      </c>
      <c r="K52" s="49" t="s">
        <v>48</v>
      </c>
      <c r="L52" s="51"/>
      <c r="M52" s="51"/>
      <c r="N52" s="51"/>
      <c r="O52" s="51"/>
      <c r="P52" s="51"/>
      <c r="Q52" s="51"/>
      <c r="R52" s="51"/>
      <c r="S52" s="51">
        <f>31.96+8.32+9.19+6.67</f>
        <v>56.14</v>
      </c>
      <c r="T52" s="51"/>
      <c r="U52" s="51"/>
      <c r="V52" s="51"/>
      <c r="W52" s="51"/>
      <c r="X52" s="62"/>
      <c r="Y52" s="62"/>
      <c r="Z52" s="62"/>
      <c r="AA52" s="62"/>
      <c r="AB52" s="78"/>
      <c r="AC52" s="54">
        <f t="shared" si="10"/>
        <v>56.14</v>
      </c>
      <c r="AD52" s="1"/>
    </row>
    <row r="53" spans="1:30" ht="14" x14ac:dyDescent="0.3">
      <c r="A53" s="90">
        <v>44018</v>
      </c>
      <c r="B53" s="79">
        <v>726</v>
      </c>
      <c r="C53" s="137" t="s">
        <v>49</v>
      </c>
      <c r="D53" s="70" t="s">
        <v>114</v>
      </c>
      <c r="E53" s="45" t="s">
        <v>45</v>
      </c>
      <c r="F53" s="70" t="s">
        <v>116</v>
      </c>
      <c r="G53" s="138" t="s">
        <v>117</v>
      </c>
      <c r="H53" s="139"/>
      <c r="I53" s="140">
        <v>32.67</v>
      </c>
      <c r="J53" s="83">
        <f t="shared" ref="J53:J55" si="14">+SUM(L53:AB53)+H53</f>
        <v>32.67</v>
      </c>
      <c r="K53" s="93" t="s">
        <v>48</v>
      </c>
      <c r="L53" s="76"/>
      <c r="M53" s="76">
        <v>32.67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8"/>
      <c r="AC53" s="54">
        <f t="shared" si="10"/>
        <v>32.67</v>
      </c>
      <c r="AD53" s="1"/>
    </row>
    <row r="54" spans="1:30" ht="14" x14ac:dyDescent="0.3">
      <c r="A54" s="90">
        <v>44018</v>
      </c>
      <c r="B54" s="79">
        <v>726</v>
      </c>
      <c r="C54" s="137" t="s">
        <v>49</v>
      </c>
      <c r="D54" s="70" t="s">
        <v>114</v>
      </c>
      <c r="E54" s="45" t="s">
        <v>45</v>
      </c>
      <c r="F54" s="70" t="s">
        <v>118</v>
      </c>
      <c r="G54" s="138" t="s">
        <v>55</v>
      </c>
      <c r="H54" s="141">
        <v>0.79</v>
      </c>
      <c r="I54" s="140">
        <v>4.7300000000000004</v>
      </c>
      <c r="J54" s="83">
        <f t="shared" si="14"/>
        <v>4.7300000000000004</v>
      </c>
      <c r="K54" s="93" t="s">
        <v>48</v>
      </c>
      <c r="L54" s="76"/>
      <c r="M54" s="76">
        <v>3.94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8"/>
      <c r="AC54" s="54">
        <f t="shared" si="10"/>
        <v>3.94</v>
      </c>
      <c r="AD54" s="1"/>
    </row>
    <row r="55" spans="1:30" ht="14" x14ac:dyDescent="0.3">
      <c r="A55" s="90">
        <v>44018</v>
      </c>
      <c r="B55" s="79">
        <v>727</v>
      </c>
      <c r="C55" s="44" t="s">
        <v>43</v>
      </c>
      <c r="D55" s="70" t="s">
        <v>114</v>
      </c>
      <c r="E55" s="84" t="s">
        <v>92</v>
      </c>
      <c r="F55" s="84" t="s">
        <v>93</v>
      </c>
      <c r="G55" s="94" t="s">
        <v>91</v>
      </c>
      <c r="H55" s="72">
        <v>15.81</v>
      </c>
      <c r="I55" s="73">
        <v>94.86</v>
      </c>
      <c r="J55" s="83">
        <f t="shared" si="14"/>
        <v>94.86</v>
      </c>
      <c r="K55" s="93" t="s">
        <v>48</v>
      </c>
      <c r="L55" s="76"/>
      <c r="M55" s="76"/>
      <c r="N55" s="76"/>
      <c r="O55" s="76">
        <v>79.05</v>
      </c>
      <c r="P55" s="76"/>
      <c r="Q55" s="142"/>
      <c r="R55" s="142"/>
      <c r="S55" s="142"/>
      <c r="T55" s="76"/>
      <c r="U55" s="76"/>
      <c r="V55" s="76"/>
      <c r="W55" s="76"/>
      <c r="X55" s="76"/>
      <c r="Y55" s="76"/>
      <c r="Z55" s="76"/>
      <c r="AA55" s="76"/>
      <c r="AB55" s="78"/>
      <c r="AC55" s="54">
        <f t="shared" si="10"/>
        <v>79.05</v>
      </c>
      <c r="AD55" s="1"/>
    </row>
    <row r="56" spans="1:30" ht="14" x14ac:dyDescent="0.3">
      <c r="A56" s="90">
        <v>44018</v>
      </c>
      <c r="B56" s="79">
        <v>728</v>
      </c>
      <c r="C56" s="44" t="s">
        <v>43</v>
      </c>
      <c r="D56" s="70" t="s">
        <v>114</v>
      </c>
      <c r="E56" s="70" t="s">
        <v>119</v>
      </c>
      <c r="F56" s="70" t="s">
        <v>120</v>
      </c>
      <c r="G56" s="138" t="s">
        <v>121</v>
      </c>
      <c r="H56" s="141"/>
      <c r="I56" s="140">
        <v>920.44</v>
      </c>
      <c r="J56" s="83">
        <f t="shared" ref="J56:J68" si="15">+SUM(L56:AB56)+H56</f>
        <v>920.44</v>
      </c>
      <c r="K56" s="75" t="s">
        <v>48</v>
      </c>
      <c r="L56" s="76"/>
      <c r="M56" s="76">
        <v>920.44</v>
      </c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8"/>
      <c r="AC56" s="54">
        <f t="shared" si="10"/>
        <v>920.44</v>
      </c>
      <c r="AD56" s="1"/>
    </row>
    <row r="57" spans="1:30" ht="14" x14ac:dyDescent="0.3">
      <c r="A57" s="90">
        <v>44018</v>
      </c>
      <c r="B57" s="79">
        <v>729</v>
      </c>
      <c r="C57" s="44" t="s">
        <v>43</v>
      </c>
      <c r="D57" s="70" t="s">
        <v>114</v>
      </c>
      <c r="E57" s="70" t="s">
        <v>67</v>
      </c>
      <c r="F57" s="70" t="s">
        <v>68</v>
      </c>
      <c r="G57" s="49" t="s">
        <v>69</v>
      </c>
      <c r="H57" s="46">
        <v>35.33</v>
      </c>
      <c r="I57" s="67">
        <v>212</v>
      </c>
      <c r="J57" s="48">
        <f t="shared" si="15"/>
        <v>212</v>
      </c>
      <c r="K57" s="69" t="s">
        <v>48</v>
      </c>
      <c r="L57" s="62"/>
      <c r="M57" s="62"/>
      <c r="N57" s="62">
        <v>176.67</v>
      </c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8"/>
      <c r="AC57" s="54">
        <f t="shared" si="10"/>
        <v>176.67</v>
      </c>
      <c r="AD57" s="1"/>
    </row>
    <row r="58" spans="1:30" ht="14" x14ac:dyDescent="0.3">
      <c r="A58" s="90">
        <v>44018</v>
      </c>
      <c r="B58" s="79">
        <v>729</v>
      </c>
      <c r="C58" s="44" t="s">
        <v>106</v>
      </c>
      <c r="D58" s="70" t="s">
        <v>114</v>
      </c>
      <c r="E58" s="70" t="s">
        <v>67</v>
      </c>
      <c r="F58" s="70" t="s">
        <v>111</v>
      </c>
      <c r="G58" s="71" t="s">
        <v>110</v>
      </c>
      <c r="H58" s="72">
        <v>570</v>
      </c>
      <c r="I58" s="73">
        <v>3420</v>
      </c>
      <c r="J58" s="83">
        <f t="shared" si="15"/>
        <v>3420</v>
      </c>
      <c r="K58" s="93" t="s">
        <v>48</v>
      </c>
      <c r="L58" s="76"/>
      <c r="M58" s="76"/>
      <c r="N58" s="76">
        <v>2850</v>
      </c>
      <c r="O58" s="142"/>
      <c r="P58" s="142"/>
      <c r="Q58" s="142"/>
      <c r="R58" s="142"/>
      <c r="S58" s="143"/>
      <c r="T58" s="143"/>
      <c r="U58" s="143"/>
      <c r="V58" s="143"/>
      <c r="W58" s="143"/>
      <c r="X58" s="76"/>
      <c r="Y58" s="76"/>
      <c r="Z58" s="76"/>
      <c r="AA58" s="76"/>
      <c r="AB58" s="78"/>
      <c r="AC58" s="54">
        <f t="shared" si="10"/>
        <v>2850</v>
      </c>
      <c r="AD58" s="1"/>
    </row>
    <row r="59" spans="1:30" ht="14" x14ac:dyDescent="0.3">
      <c r="A59" s="90">
        <v>44018</v>
      </c>
      <c r="B59" s="79">
        <v>729</v>
      </c>
      <c r="C59" s="44" t="s">
        <v>43</v>
      </c>
      <c r="D59" s="70" t="s">
        <v>114</v>
      </c>
      <c r="E59" s="70" t="s">
        <v>67</v>
      </c>
      <c r="F59" s="70" t="s">
        <v>122</v>
      </c>
      <c r="G59" s="71" t="s">
        <v>71</v>
      </c>
      <c r="H59" s="72">
        <v>10</v>
      </c>
      <c r="I59" s="73">
        <v>60</v>
      </c>
      <c r="J59" s="83">
        <f>+SUM(L59:AB59)+H59</f>
        <v>60</v>
      </c>
      <c r="K59" s="93" t="s">
        <v>48</v>
      </c>
      <c r="L59" s="76"/>
      <c r="M59" s="76"/>
      <c r="N59" s="76">
        <v>50</v>
      </c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8"/>
      <c r="AC59" s="54">
        <f t="shared" si="10"/>
        <v>50</v>
      </c>
      <c r="AD59" s="1"/>
    </row>
    <row r="60" spans="1:30" ht="14" x14ac:dyDescent="0.3">
      <c r="A60" s="90">
        <v>44021</v>
      </c>
      <c r="B60" s="79" t="s">
        <v>78</v>
      </c>
      <c r="C60" s="44" t="s">
        <v>43</v>
      </c>
      <c r="D60" s="70" t="s">
        <v>114</v>
      </c>
      <c r="E60" s="84" t="s">
        <v>79</v>
      </c>
      <c r="F60" s="84" t="s">
        <v>80</v>
      </c>
      <c r="G60" s="85" t="s">
        <v>81</v>
      </c>
      <c r="H60" s="72">
        <v>2.09</v>
      </c>
      <c r="I60" s="86">
        <v>12.56</v>
      </c>
      <c r="J60" s="83">
        <f t="shared" ref="J60" si="16">+SUM(L60:AB60)+H60</f>
        <v>12.56</v>
      </c>
      <c r="K60" s="87" t="s">
        <v>48</v>
      </c>
      <c r="L60" s="88"/>
      <c r="M60" s="88">
        <v>10.47</v>
      </c>
      <c r="N60" s="88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8"/>
      <c r="AC60" s="54">
        <f t="shared" si="10"/>
        <v>10.47</v>
      </c>
      <c r="AD60" s="1"/>
    </row>
    <row r="61" spans="1:30" ht="14" x14ac:dyDescent="0.3">
      <c r="A61" s="90">
        <v>44018</v>
      </c>
      <c r="B61" s="79">
        <v>730</v>
      </c>
      <c r="C61" s="44" t="s">
        <v>106</v>
      </c>
      <c r="D61" s="70" t="s">
        <v>114</v>
      </c>
      <c r="E61" s="70" t="s">
        <v>123</v>
      </c>
      <c r="F61" s="70" t="s">
        <v>124</v>
      </c>
      <c r="G61" s="81" t="s">
        <v>57</v>
      </c>
      <c r="H61" s="72"/>
      <c r="I61" s="73">
        <v>200</v>
      </c>
      <c r="J61" s="83">
        <f>+SUM(L61:AB61)+H61</f>
        <v>200</v>
      </c>
      <c r="K61" s="75" t="s">
        <v>48</v>
      </c>
      <c r="L61" s="76"/>
      <c r="M61" s="76"/>
      <c r="N61" s="76"/>
      <c r="O61" s="76"/>
      <c r="P61" s="76"/>
      <c r="Q61" s="76"/>
      <c r="R61" s="76"/>
      <c r="S61" s="76">
        <v>200</v>
      </c>
      <c r="T61" s="76"/>
      <c r="U61" s="76"/>
      <c r="V61" s="76"/>
      <c r="W61" s="76"/>
      <c r="X61" s="76"/>
      <c r="Y61" s="76"/>
      <c r="Z61" s="76"/>
      <c r="AA61" s="76"/>
      <c r="AB61" s="78"/>
      <c r="AC61" s="54">
        <f t="shared" si="10"/>
        <v>200</v>
      </c>
      <c r="AD61" s="1"/>
    </row>
    <row r="62" spans="1:30" ht="14" x14ac:dyDescent="0.3">
      <c r="A62" s="90">
        <v>44018</v>
      </c>
      <c r="B62" s="79">
        <v>731</v>
      </c>
      <c r="C62" s="44" t="s">
        <v>106</v>
      </c>
      <c r="D62" s="70" t="s">
        <v>114</v>
      </c>
      <c r="E62" s="70" t="s">
        <v>125</v>
      </c>
      <c r="F62" s="144" t="s">
        <v>126</v>
      </c>
      <c r="G62" s="145" t="s">
        <v>57</v>
      </c>
      <c r="H62" s="146">
        <v>13.24</v>
      </c>
      <c r="I62" s="147">
        <v>79.44</v>
      </c>
      <c r="J62" s="83">
        <f t="shared" si="15"/>
        <v>79.44</v>
      </c>
      <c r="K62" s="93" t="s">
        <v>48</v>
      </c>
      <c r="L62" s="76"/>
      <c r="M62" s="76"/>
      <c r="N62" s="76"/>
      <c r="O62" s="76"/>
      <c r="P62" s="76"/>
      <c r="Q62" s="76"/>
      <c r="R62" s="76"/>
      <c r="S62" s="76">
        <v>66.2</v>
      </c>
      <c r="T62" s="76"/>
      <c r="U62" s="76"/>
      <c r="V62" s="76"/>
      <c r="W62" s="76"/>
      <c r="X62" s="76"/>
      <c r="Y62" s="76"/>
      <c r="Z62" s="76"/>
      <c r="AA62" s="76"/>
      <c r="AB62" s="78"/>
      <c r="AC62" s="54">
        <f t="shared" si="10"/>
        <v>66.2</v>
      </c>
      <c r="AD62" s="1"/>
    </row>
    <row r="63" spans="1:30" ht="14" x14ac:dyDescent="0.3">
      <c r="A63" s="90">
        <v>44046</v>
      </c>
      <c r="B63" s="79">
        <v>732</v>
      </c>
      <c r="C63" s="44" t="s">
        <v>43</v>
      </c>
      <c r="D63" s="70" t="s">
        <v>114</v>
      </c>
      <c r="E63" s="70" t="s">
        <v>67</v>
      </c>
      <c r="F63" s="70" t="s">
        <v>68</v>
      </c>
      <c r="G63" s="49" t="s">
        <v>69</v>
      </c>
      <c r="H63" s="46">
        <v>35.33</v>
      </c>
      <c r="I63" s="67">
        <v>212</v>
      </c>
      <c r="J63" s="48">
        <f t="shared" ref="J63:J64" si="17">+SUM(L63:AB63)+H63</f>
        <v>212</v>
      </c>
      <c r="K63" s="69" t="s">
        <v>48</v>
      </c>
      <c r="L63" s="62"/>
      <c r="M63" s="62"/>
      <c r="N63" s="62">
        <v>176.67</v>
      </c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8"/>
      <c r="AC63" s="54">
        <f t="shared" si="10"/>
        <v>176.67</v>
      </c>
      <c r="AD63" s="1"/>
    </row>
    <row r="64" spans="1:30" ht="14" x14ac:dyDescent="0.3">
      <c r="A64" s="89">
        <v>44046</v>
      </c>
      <c r="B64" s="79">
        <v>733</v>
      </c>
      <c r="C64" s="44" t="s">
        <v>43</v>
      </c>
      <c r="D64" s="70" t="s">
        <v>114</v>
      </c>
      <c r="E64" s="84" t="s">
        <v>92</v>
      </c>
      <c r="F64" s="84" t="s">
        <v>93</v>
      </c>
      <c r="G64" s="94" t="s">
        <v>91</v>
      </c>
      <c r="H64" s="72">
        <v>19.23</v>
      </c>
      <c r="I64" s="73">
        <v>115.38</v>
      </c>
      <c r="J64" s="83">
        <f t="shared" si="17"/>
        <v>115.38000000000001</v>
      </c>
      <c r="K64" s="93" t="s">
        <v>48</v>
      </c>
      <c r="L64" s="76"/>
      <c r="M64" s="76"/>
      <c r="N64" s="76"/>
      <c r="O64" s="76">
        <v>96.15</v>
      </c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8"/>
      <c r="AC64" s="54">
        <f t="shared" si="10"/>
        <v>96.15</v>
      </c>
      <c r="AD64" s="1"/>
    </row>
    <row r="65" spans="1:30" ht="14" x14ac:dyDescent="0.3">
      <c r="A65" s="89">
        <v>44046</v>
      </c>
      <c r="B65" s="79">
        <v>734</v>
      </c>
      <c r="C65" s="44" t="s">
        <v>106</v>
      </c>
      <c r="D65" s="70" t="s">
        <v>114</v>
      </c>
      <c r="E65" s="84" t="s">
        <v>125</v>
      </c>
      <c r="F65" s="70" t="s">
        <v>127</v>
      </c>
      <c r="G65" s="79" t="s">
        <v>110</v>
      </c>
      <c r="H65" s="72">
        <v>9.98</v>
      </c>
      <c r="I65" s="148">
        <v>59.88</v>
      </c>
      <c r="J65" s="74">
        <f t="shared" si="15"/>
        <v>59.879999999999995</v>
      </c>
      <c r="K65" s="93" t="s">
        <v>48</v>
      </c>
      <c r="L65" s="76"/>
      <c r="M65" s="76"/>
      <c r="N65" s="76">
        <v>49.9</v>
      </c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8"/>
      <c r="AC65" s="54">
        <f t="shared" si="10"/>
        <v>49.9</v>
      </c>
      <c r="AD65" s="1"/>
    </row>
    <row r="66" spans="1:30" ht="14" x14ac:dyDescent="0.3">
      <c r="A66" s="89">
        <v>44046</v>
      </c>
      <c r="B66" s="79">
        <v>735</v>
      </c>
      <c r="C66" s="44" t="s">
        <v>106</v>
      </c>
      <c r="D66" s="70" t="s">
        <v>114</v>
      </c>
      <c r="E66" s="84" t="s">
        <v>128</v>
      </c>
      <c r="F66" s="84" t="s">
        <v>129</v>
      </c>
      <c r="G66" s="79" t="s">
        <v>130</v>
      </c>
      <c r="H66" s="72">
        <v>130</v>
      </c>
      <c r="I66" s="148">
        <v>780</v>
      </c>
      <c r="J66" s="74">
        <f t="shared" si="15"/>
        <v>780</v>
      </c>
      <c r="K66" s="94" t="s">
        <v>48</v>
      </c>
      <c r="L66" s="76"/>
      <c r="M66" s="76"/>
      <c r="N66" s="76"/>
      <c r="O66" s="76"/>
      <c r="P66" s="76"/>
      <c r="Q66" s="76"/>
      <c r="R66" s="76"/>
      <c r="S66" s="76"/>
      <c r="T66" s="76">
        <v>650</v>
      </c>
      <c r="U66" s="76"/>
      <c r="V66" s="76"/>
      <c r="W66" s="76"/>
      <c r="X66" s="76"/>
      <c r="Y66" s="76"/>
      <c r="Z66" s="76"/>
      <c r="AA66" s="76"/>
      <c r="AB66" s="78"/>
      <c r="AC66" s="54">
        <f t="shared" si="10"/>
        <v>650</v>
      </c>
      <c r="AD66" s="1"/>
    </row>
    <row r="67" spans="1:30" ht="14" x14ac:dyDescent="0.3">
      <c r="A67" s="89">
        <v>44046</v>
      </c>
      <c r="B67" s="79">
        <v>736</v>
      </c>
      <c r="C67" s="44" t="s">
        <v>106</v>
      </c>
      <c r="D67" s="70" t="s">
        <v>114</v>
      </c>
      <c r="E67" s="84" t="s">
        <v>128</v>
      </c>
      <c r="F67" s="70" t="s">
        <v>131</v>
      </c>
      <c r="G67" s="79" t="s">
        <v>130</v>
      </c>
      <c r="H67" s="149">
        <v>130</v>
      </c>
      <c r="I67" s="148">
        <v>780</v>
      </c>
      <c r="J67" s="74">
        <f t="shared" si="15"/>
        <v>780</v>
      </c>
      <c r="K67" s="94" t="s">
        <v>48</v>
      </c>
      <c r="L67" s="76"/>
      <c r="M67" s="76"/>
      <c r="N67" s="76"/>
      <c r="O67" s="76"/>
      <c r="P67" s="76"/>
      <c r="Q67" s="76"/>
      <c r="R67" s="76"/>
      <c r="S67" s="76"/>
      <c r="T67" s="76">
        <v>650</v>
      </c>
      <c r="U67" s="76"/>
      <c r="V67" s="76"/>
      <c r="W67" s="76"/>
      <c r="X67" s="76"/>
      <c r="Y67" s="76"/>
      <c r="Z67" s="76"/>
      <c r="AA67" s="76"/>
      <c r="AB67" s="78"/>
      <c r="AC67" s="54">
        <f t="shared" si="10"/>
        <v>650</v>
      </c>
      <c r="AD67" s="1"/>
    </row>
    <row r="68" spans="1:30" ht="14" x14ac:dyDescent="0.3">
      <c r="A68" s="90">
        <v>44081</v>
      </c>
      <c r="B68" s="79">
        <v>737</v>
      </c>
      <c r="C68" s="44" t="s">
        <v>43</v>
      </c>
      <c r="D68" s="70" t="s">
        <v>114</v>
      </c>
      <c r="E68" s="84" t="s">
        <v>132</v>
      </c>
      <c r="F68" s="84" t="s">
        <v>133</v>
      </c>
      <c r="G68" s="85" t="s">
        <v>86</v>
      </c>
      <c r="H68" s="72">
        <v>40</v>
      </c>
      <c r="I68" s="73">
        <v>240</v>
      </c>
      <c r="J68" s="74">
        <f t="shared" si="15"/>
        <v>240</v>
      </c>
      <c r="K68" s="94" t="s">
        <v>48</v>
      </c>
      <c r="L68" s="143"/>
      <c r="M68" s="143">
        <v>200</v>
      </c>
      <c r="N68" s="143"/>
      <c r="O68" s="143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8"/>
      <c r="AC68" s="54">
        <f t="shared" si="10"/>
        <v>200</v>
      </c>
      <c r="AD68" s="1"/>
    </row>
    <row r="69" spans="1:30" ht="14" x14ac:dyDescent="0.3">
      <c r="A69" s="90">
        <v>44081</v>
      </c>
      <c r="B69" s="79">
        <v>738</v>
      </c>
      <c r="C69" s="44" t="s">
        <v>43</v>
      </c>
      <c r="D69" s="70" t="s">
        <v>114</v>
      </c>
      <c r="E69" s="84" t="s">
        <v>92</v>
      </c>
      <c r="F69" s="84" t="s">
        <v>93</v>
      </c>
      <c r="G69" s="94" t="s">
        <v>91</v>
      </c>
      <c r="H69" s="72">
        <v>15.5</v>
      </c>
      <c r="I69" s="73">
        <v>93</v>
      </c>
      <c r="J69" s="83">
        <f t="shared" ref="J69:J76" si="18">+SUM(L69:AB69)+H69</f>
        <v>93</v>
      </c>
      <c r="K69" s="93" t="s">
        <v>48</v>
      </c>
      <c r="L69" s="76"/>
      <c r="M69" s="76"/>
      <c r="N69" s="76"/>
      <c r="O69" s="76">
        <v>77.5</v>
      </c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8"/>
      <c r="AC69" s="54">
        <f t="shared" si="10"/>
        <v>77.5</v>
      </c>
      <c r="AD69" s="1"/>
    </row>
    <row r="70" spans="1:30" ht="14" x14ac:dyDescent="0.3">
      <c r="A70" s="90">
        <v>44081</v>
      </c>
      <c r="B70" s="79">
        <v>739</v>
      </c>
      <c r="C70" s="44" t="s">
        <v>43</v>
      </c>
      <c r="D70" s="70" t="s">
        <v>114</v>
      </c>
      <c r="E70" s="70" t="s">
        <v>67</v>
      </c>
      <c r="F70" s="70" t="s">
        <v>68</v>
      </c>
      <c r="G70" s="49" t="s">
        <v>69</v>
      </c>
      <c r="H70" s="46">
        <v>35.33</v>
      </c>
      <c r="I70" s="67">
        <v>212</v>
      </c>
      <c r="J70" s="48">
        <f t="shared" si="18"/>
        <v>212</v>
      </c>
      <c r="K70" s="69" t="s">
        <v>48</v>
      </c>
      <c r="L70" s="62"/>
      <c r="M70" s="62"/>
      <c r="N70" s="62">
        <v>176.67</v>
      </c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8"/>
      <c r="AC70" s="54">
        <f t="shared" si="10"/>
        <v>176.67</v>
      </c>
      <c r="AD70" s="1"/>
    </row>
    <row r="71" spans="1:30" ht="14" x14ac:dyDescent="0.3">
      <c r="A71" s="90">
        <v>44081</v>
      </c>
      <c r="B71" s="80">
        <v>739</v>
      </c>
      <c r="C71" s="44" t="s">
        <v>106</v>
      </c>
      <c r="D71" s="70" t="s">
        <v>114</v>
      </c>
      <c r="E71" s="70" t="s">
        <v>67</v>
      </c>
      <c r="F71" s="70" t="s">
        <v>134</v>
      </c>
      <c r="G71" s="71" t="s">
        <v>110</v>
      </c>
      <c r="H71" s="72">
        <v>9</v>
      </c>
      <c r="I71" s="73">
        <v>54</v>
      </c>
      <c r="J71" s="83">
        <f t="shared" si="18"/>
        <v>54</v>
      </c>
      <c r="K71" s="93" t="s">
        <v>48</v>
      </c>
      <c r="L71" s="76"/>
      <c r="M71" s="76"/>
      <c r="N71" s="76">
        <v>45</v>
      </c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8"/>
      <c r="AC71" s="54">
        <f t="shared" si="10"/>
        <v>45</v>
      </c>
      <c r="AD71" s="1"/>
    </row>
    <row r="72" spans="1:30" ht="14" x14ac:dyDescent="0.3">
      <c r="A72" s="90">
        <v>44081</v>
      </c>
      <c r="B72" s="79">
        <v>740</v>
      </c>
      <c r="C72" s="44" t="s">
        <v>43</v>
      </c>
      <c r="D72" s="70" t="s">
        <v>114</v>
      </c>
      <c r="E72" s="84" t="s">
        <v>75</v>
      </c>
      <c r="F72" s="70" t="s">
        <v>135</v>
      </c>
      <c r="G72" s="79" t="s">
        <v>136</v>
      </c>
      <c r="H72" s="149">
        <v>80</v>
      </c>
      <c r="I72" s="148">
        <v>480</v>
      </c>
      <c r="J72" s="83">
        <f t="shared" si="18"/>
        <v>480</v>
      </c>
      <c r="K72" s="94" t="s">
        <v>48</v>
      </c>
      <c r="L72" s="76"/>
      <c r="M72" s="76"/>
      <c r="N72" s="76">
        <v>400</v>
      </c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8"/>
      <c r="AC72" s="54">
        <f t="shared" si="10"/>
        <v>400</v>
      </c>
      <c r="AD72" s="1"/>
    </row>
    <row r="73" spans="1:30" ht="14" x14ac:dyDescent="0.3">
      <c r="A73" s="90">
        <v>44081</v>
      </c>
      <c r="B73" s="79">
        <v>741</v>
      </c>
      <c r="C73" s="44" t="s">
        <v>106</v>
      </c>
      <c r="D73" s="70" t="s">
        <v>114</v>
      </c>
      <c r="E73" s="84" t="s">
        <v>137</v>
      </c>
      <c r="F73" s="84" t="s">
        <v>138</v>
      </c>
      <c r="G73" s="79" t="s">
        <v>139</v>
      </c>
      <c r="H73" s="72"/>
      <c r="I73" s="147">
        <v>300</v>
      </c>
      <c r="J73" s="83">
        <f t="shared" si="18"/>
        <v>300</v>
      </c>
      <c r="K73" s="94" t="s">
        <v>48</v>
      </c>
      <c r="L73" s="76"/>
      <c r="M73" s="76">
        <v>300</v>
      </c>
      <c r="N73" s="76"/>
      <c r="O73" s="76"/>
      <c r="P73" s="76"/>
      <c r="Q73" s="76"/>
      <c r="R73" s="76"/>
      <c r="S73" s="76"/>
      <c r="T73" s="76"/>
      <c r="U73" s="76"/>
      <c r="V73" s="77"/>
      <c r="W73" s="76"/>
      <c r="X73" s="76"/>
      <c r="Y73" s="76"/>
      <c r="Z73" s="76"/>
      <c r="AA73" s="76"/>
      <c r="AB73" s="78"/>
      <c r="AC73" s="54">
        <f t="shared" si="10"/>
        <v>300</v>
      </c>
      <c r="AD73" s="1"/>
    </row>
    <row r="74" spans="1:30" ht="14" x14ac:dyDescent="0.3">
      <c r="A74" s="90">
        <v>44081</v>
      </c>
      <c r="B74" s="79">
        <v>742</v>
      </c>
      <c r="C74" s="44" t="s">
        <v>106</v>
      </c>
      <c r="D74" s="70" t="s">
        <v>114</v>
      </c>
      <c r="E74" s="84" t="s">
        <v>140</v>
      </c>
      <c r="F74" s="84" t="s">
        <v>141</v>
      </c>
      <c r="G74" s="79" t="s">
        <v>130</v>
      </c>
      <c r="H74" s="72"/>
      <c r="I74" s="147">
        <v>3272.84</v>
      </c>
      <c r="J74" s="83">
        <f t="shared" si="18"/>
        <v>3272.84</v>
      </c>
      <c r="K74" s="94" t="s">
        <v>48</v>
      </c>
      <c r="L74" s="76"/>
      <c r="M74" s="76"/>
      <c r="N74" s="76"/>
      <c r="O74" s="76"/>
      <c r="P74" s="76"/>
      <c r="Q74" s="76"/>
      <c r="R74" s="76"/>
      <c r="S74" s="76"/>
      <c r="T74" s="76">
        <v>3272.84</v>
      </c>
      <c r="U74" s="76"/>
      <c r="V74" s="77"/>
      <c r="W74" s="76"/>
      <c r="X74" s="76"/>
      <c r="Y74" s="76"/>
      <c r="Z74" s="76"/>
      <c r="AA74" s="76"/>
      <c r="AB74" s="78"/>
      <c r="AC74" s="54">
        <f t="shared" si="10"/>
        <v>3272.84</v>
      </c>
      <c r="AD74" s="1"/>
    </row>
    <row r="75" spans="1:30" ht="14" x14ac:dyDescent="0.3">
      <c r="A75" s="89">
        <v>44099</v>
      </c>
      <c r="B75" s="79" t="s">
        <v>78</v>
      </c>
      <c r="C75" s="44" t="s">
        <v>43</v>
      </c>
      <c r="D75" s="80" t="s">
        <v>114</v>
      </c>
      <c r="E75" s="84" t="s">
        <v>79</v>
      </c>
      <c r="F75" s="84" t="s">
        <v>142</v>
      </c>
      <c r="G75" s="85" t="s">
        <v>81</v>
      </c>
      <c r="H75" s="72">
        <v>2.19</v>
      </c>
      <c r="I75" s="86">
        <v>13.11</v>
      </c>
      <c r="J75" s="83">
        <v>13.11</v>
      </c>
      <c r="K75" s="87" t="s">
        <v>48</v>
      </c>
      <c r="L75" s="88"/>
      <c r="M75" s="88">
        <v>10.93</v>
      </c>
      <c r="N75" s="88"/>
      <c r="O75" s="76"/>
      <c r="P75" s="76"/>
      <c r="Q75" s="77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8"/>
      <c r="AC75" s="54">
        <f t="shared" si="10"/>
        <v>10.93</v>
      </c>
      <c r="AD75" s="1"/>
    </row>
    <row r="76" spans="1:30" ht="14" x14ac:dyDescent="0.3">
      <c r="A76" s="89"/>
      <c r="B76" s="79"/>
      <c r="C76" s="44"/>
      <c r="D76" s="70"/>
      <c r="E76" s="84"/>
      <c r="F76" s="84"/>
      <c r="G76" s="84"/>
      <c r="H76" s="150"/>
      <c r="I76" s="148"/>
      <c r="J76" s="83">
        <f t="shared" si="18"/>
        <v>0</v>
      </c>
      <c r="K76" s="94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7"/>
      <c r="W76" s="76"/>
      <c r="X76" s="76"/>
      <c r="Y76" s="76"/>
      <c r="Z76" s="76"/>
      <c r="AA76" s="76"/>
      <c r="AB76" s="78"/>
      <c r="AC76" s="54">
        <f t="shared" si="10"/>
        <v>0</v>
      </c>
      <c r="AD76" s="1"/>
    </row>
    <row r="77" spans="1:30" ht="14.5" thickBot="1" x14ac:dyDescent="0.35">
      <c r="A77" s="109"/>
      <c r="B77" s="110"/>
      <c r="C77" s="111"/>
      <c r="D77" s="109"/>
      <c r="E77" s="109"/>
      <c r="F77" s="109" t="s">
        <v>143</v>
      </c>
      <c r="G77" s="109"/>
      <c r="H77" s="112">
        <f>+SUM(H48:H76)</f>
        <v>1165.8200000000002</v>
      </c>
      <c r="I77" s="113">
        <f>SUM(I48:I76)</f>
        <v>14052.720000000001</v>
      </c>
      <c r="J77" s="151">
        <f>SUM(J48:J76)</f>
        <v>14052.720000000001</v>
      </c>
      <c r="K77" s="152"/>
      <c r="L77" s="153">
        <f t="shared" ref="L77:AB77" si="19">+SUM(L48:L76)</f>
        <v>2239.89</v>
      </c>
      <c r="M77" s="153">
        <f t="shared" si="19"/>
        <v>1574.23</v>
      </c>
      <c r="N77" s="153">
        <f t="shared" si="19"/>
        <v>3924.9100000000003</v>
      </c>
      <c r="O77" s="153">
        <f t="shared" si="19"/>
        <v>252.7</v>
      </c>
      <c r="P77" s="153">
        <f t="shared" si="19"/>
        <v>0</v>
      </c>
      <c r="Q77" s="153">
        <f t="shared" si="19"/>
        <v>0</v>
      </c>
      <c r="R77" s="153">
        <f t="shared" si="19"/>
        <v>0</v>
      </c>
      <c r="S77" s="153">
        <f t="shared" si="19"/>
        <v>322.33999999999997</v>
      </c>
      <c r="T77" s="153">
        <f t="shared" si="19"/>
        <v>4572.84</v>
      </c>
      <c r="U77" s="153">
        <f t="shared" si="19"/>
        <v>0</v>
      </c>
      <c r="V77" s="153">
        <f t="shared" si="19"/>
        <v>0</v>
      </c>
      <c r="W77" s="153">
        <f t="shared" si="19"/>
        <v>0</v>
      </c>
      <c r="X77" s="153">
        <f t="shared" si="19"/>
        <v>0</v>
      </c>
      <c r="Y77" s="153">
        <f t="shared" si="19"/>
        <v>0</v>
      </c>
      <c r="Z77" s="153">
        <f t="shared" si="19"/>
        <v>0</v>
      </c>
      <c r="AA77" s="153">
        <f t="shared" si="19"/>
        <v>0</v>
      </c>
      <c r="AB77" s="154">
        <f t="shared" si="19"/>
        <v>0</v>
      </c>
      <c r="AC77" s="54">
        <f t="shared" si="10"/>
        <v>12886.91</v>
      </c>
      <c r="AD77" s="1"/>
    </row>
    <row r="78" spans="1:30" ht="14" x14ac:dyDescent="0.3">
      <c r="A78" s="155"/>
      <c r="B78" s="156"/>
      <c r="C78" s="157"/>
      <c r="D78" s="155"/>
      <c r="E78" s="155"/>
      <c r="F78" s="155"/>
      <c r="G78" s="155"/>
      <c r="H78" s="158"/>
      <c r="I78" s="159"/>
      <c r="J78" s="160"/>
      <c r="K78" s="161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3"/>
      <c r="AC78" s="54">
        <f t="shared" si="10"/>
        <v>0</v>
      </c>
      <c r="AD78" s="1"/>
    </row>
    <row r="79" spans="1:30" ht="14.5" thickBot="1" x14ac:dyDescent="0.35">
      <c r="A79" s="164"/>
      <c r="B79" s="165"/>
      <c r="C79" s="166"/>
      <c r="D79" s="164"/>
      <c r="E79" s="164"/>
      <c r="F79" s="164"/>
      <c r="G79" s="164"/>
      <c r="H79" s="167">
        <f>+H43+H77</f>
        <v>1912.7900000000002</v>
      </c>
      <c r="I79" s="168">
        <f>+I43+I77</f>
        <v>22309.440000000002</v>
      </c>
      <c r="J79" s="169">
        <f>+SUM(L79:AB79)+H79</f>
        <v>22309.45</v>
      </c>
      <c r="K79" s="170"/>
      <c r="L79" s="171">
        <f t="shared" ref="L79:AB79" si="20">+L43+L77</f>
        <v>4668.6900000000005</v>
      </c>
      <c r="M79" s="171">
        <f t="shared" si="20"/>
        <v>2330.3900000000003</v>
      </c>
      <c r="N79" s="171">
        <f t="shared" si="20"/>
        <v>6751.42</v>
      </c>
      <c r="O79" s="171">
        <f t="shared" si="20"/>
        <v>590.93000000000006</v>
      </c>
      <c r="P79" s="171">
        <f t="shared" si="20"/>
        <v>543.24</v>
      </c>
      <c r="Q79" s="171">
        <f t="shared" si="20"/>
        <v>310</v>
      </c>
      <c r="R79" s="171">
        <f t="shared" si="20"/>
        <v>12.73</v>
      </c>
      <c r="S79" s="171">
        <f t="shared" si="20"/>
        <v>616.41999999999996</v>
      </c>
      <c r="T79" s="171">
        <f t="shared" si="20"/>
        <v>4572.84</v>
      </c>
      <c r="U79" s="171">
        <f t="shared" si="20"/>
        <v>0</v>
      </c>
      <c r="V79" s="171">
        <f t="shared" si="20"/>
        <v>0</v>
      </c>
      <c r="W79" s="171">
        <f t="shared" si="20"/>
        <v>0</v>
      </c>
      <c r="X79" s="171">
        <f t="shared" si="20"/>
        <v>0</v>
      </c>
      <c r="Y79" s="171">
        <f t="shared" si="20"/>
        <v>0</v>
      </c>
      <c r="Z79" s="171">
        <f t="shared" si="20"/>
        <v>0</v>
      </c>
      <c r="AA79" s="171">
        <f t="shared" si="20"/>
        <v>0</v>
      </c>
      <c r="AB79" s="172">
        <f t="shared" si="20"/>
        <v>0</v>
      </c>
      <c r="AC79" s="54">
        <f t="shared" si="10"/>
        <v>20396.66</v>
      </c>
      <c r="AD79" s="1"/>
    </row>
    <row r="80" spans="1:30" ht="14" x14ac:dyDescent="0.3">
      <c r="A80" s="173" t="s">
        <v>18</v>
      </c>
      <c r="B80" s="174" t="s">
        <v>19</v>
      </c>
      <c r="C80" s="175" t="s">
        <v>113</v>
      </c>
      <c r="D80" s="174" t="s">
        <v>21</v>
      </c>
      <c r="E80" s="174" t="s">
        <v>22</v>
      </c>
      <c r="F80" s="174" t="s">
        <v>23</v>
      </c>
      <c r="G80" s="174" t="s">
        <v>24</v>
      </c>
      <c r="H80" s="176" t="s">
        <v>4</v>
      </c>
      <c r="I80" s="177" t="s">
        <v>26</v>
      </c>
      <c r="J80" s="25" t="s">
        <v>27</v>
      </c>
      <c r="K80" s="178" t="s">
        <v>28</v>
      </c>
      <c r="L80" s="174" t="str">
        <f t="shared" ref="L80:AB80" si="21">L7</f>
        <v>STAFF COSTS</v>
      </c>
      <c r="M80" s="174" t="str">
        <f t="shared" si="21"/>
        <v>ADMINISTRATION COSTS</v>
      </c>
      <c r="N80" s="174" t="str">
        <f t="shared" si="21"/>
        <v>PARK &amp; OPEN SPACES</v>
      </c>
      <c r="O80" s="174" t="str">
        <f t="shared" si="21"/>
        <v>CHURCHYARD</v>
      </c>
      <c r="P80" s="174" t="str">
        <f t="shared" si="21"/>
        <v>SUBSCRIPTIONS</v>
      </c>
      <c r="Q80" s="174" t="str">
        <f t="shared" si="21"/>
        <v xml:space="preserve">GRANTS &amp; DONATIONS </v>
      </c>
      <c r="R80" s="174" t="str">
        <f t="shared" si="21"/>
        <v>OTHER</v>
      </c>
      <c r="S80" s="174" t="str">
        <f t="shared" si="21"/>
        <v>CONTINGENCY</v>
      </c>
      <c r="T80" s="174" t="str">
        <f t="shared" si="21"/>
        <v>EARMARKED RESERVE FUNDS</v>
      </c>
      <c r="U80" s="174" t="str">
        <f t="shared" si="21"/>
        <v xml:space="preserve">CAPITAL </v>
      </c>
      <c r="V80" s="174">
        <f t="shared" si="21"/>
        <v>0</v>
      </c>
      <c r="W80" s="174">
        <f t="shared" si="21"/>
        <v>0</v>
      </c>
      <c r="X80" s="174">
        <f t="shared" si="21"/>
        <v>0</v>
      </c>
      <c r="Y80" s="174" t="str">
        <f t="shared" si="21"/>
        <v>Cap Project</v>
      </c>
      <c r="Z80" s="174" t="str">
        <f t="shared" si="21"/>
        <v>Cap Project</v>
      </c>
      <c r="AA80" s="174" t="str">
        <f t="shared" si="21"/>
        <v>Cap Project</v>
      </c>
      <c r="AB80" s="179" t="str">
        <f t="shared" si="21"/>
        <v>Other</v>
      </c>
      <c r="AC80" s="54">
        <f t="shared" si="10"/>
        <v>0</v>
      </c>
      <c r="AD80" s="1"/>
    </row>
    <row r="81" spans="1:31" ht="14.5" thickBot="1" x14ac:dyDescent="0.35">
      <c r="A81" s="180"/>
      <c r="B81" s="181"/>
      <c r="C81" s="182"/>
      <c r="D81" s="181"/>
      <c r="E81" s="181"/>
      <c r="F81" s="181"/>
      <c r="G81" s="181"/>
      <c r="H81" s="183"/>
      <c r="I81" s="184"/>
      <c r="J81" s="185" t="s">
        <v>26</v>
      </c>
      <c r="K81" s="186"/>
      <c r="L81" s="181" t="s">
        <v>8</v>
      </c>
      <c r="M81" s="181" t="s">
        <v>9</v>
      </c>
      <c r="N81" s="181" t="s">
        <v>10</v>
      </c>
      <c r="O81" s="181" t="s">
        <v>11</v>
      </c>
      <c r="P81" s="181" t="s">
        <v>12</v>
      </c>
      <c r="Q81" s="181" t="s">
        <v>13</v>
      </c>
      <c r="R81" s="181" t="s">
        <v>14</v>
      </c>
      <c r="S81" s="181" t="s">
        <v>15</v>
      </c>
      <c r="T81" s="181" t="s">
        <v>16</v>
      </c>
      <c r="U81" s="181" t="s">
        <v>17</v>
      </c>
      <c r="V81" s="181" t="s">
        <v>36</v>
      </c>
      <c r="W81" s="181" t="s">
        <v>37</v>
      </c>
      <c r="X81" s="181" t="s">
        <v>38</v>
      </c>
      <c r="Y81" s="181" t="s">
        <v>39</v>
      </c>
      <c r="Z81" s="181" t="s">
        <v>40</v>
      </c>
      <c r="AA81" s="181" t="s">
        <v>41</v>
      </c>
      <c r="AB81" s="187" t="s">
        <v>42</v>
      </c>
      <c r="AC81" s="54">
        <f t="shared" si="10"/>
        <v>0</v>
      </c>
      <c r="AD81" s="1"/>
    </row>
    <row r="82" spans="1:31" ht="14" x14ac:dyDescent="0.3">
      <c r="A82" s="89">
        <v>44109</v>
      </c>
      <c r="B82" s="115">
        <v>743</v>
      </c>
      <c r="C82" s="116" t="s">
        <v>106</v>
      </c>
      <c r="D82" s="188" t="s">
        <v>144</v>
      </c>
      <c r="E82" s="114" t="s">
        <v>145</v>
      </c>
      <c r="F82" s="84" t="s">
        <v>141</v>
      </c>
      <c r="G82" s="79" t="s">
        <v>130</v>
      </c>
      <c r="H82" s="150"/>
      <c r="I82" s="147">
        <v>3350</v>
      </c>
      <c r="J82" s="83">
        <f t="shared" ref="J82" si="22">+SUM(L82:AB82)+H82</f>
        <v>3350</v>
      </c>
      <c r="K82" s="94" t="s">
        <v>48</v>
      </c>
      <c r="L82" s="76"/>
      <c r="M82" s="76"/>
      <c r="N82" s="76"/>
      <c r="O82" s="76"/>
      <c r="P82" s="76"/>
      <c r="Q82" s="76"/>
      <c r="R82" s="76"/>
      <c r="S82" s="76"/>
      <c r="T82" s="76">
        <v>3350</v>
      </c>
      <c r="U82" s="76"/>
      <c r="V82" s="77"/>
      <c r="W82" s="76"/>
      <c r="X82" s="189"/>
      <c r="Y82" s="189"/>
      <c r="Z82" s="189"/>
      <c r="AA82" s="189"/>
      <c r="AB82" s="190"/>
      <c r="AC82" s="54">
        <f t="shared" si="10"/>
        <v>3350</v>
      </c>
      <c r="AD82" s="1"/>
    </row>
    <row r="83" spans="1:31" s="56" customFormat="1" ht="14" x14ac:dyDescent="0.3">
      <c r="A83" s="89">
        <v>44109</v>
      </c>
      <c r="B83" s="79">
        <v>744</v>
      </c>
      <c r="C83" s="44" t="s">
        <v>43</v>
      </c>
      <c r="D83" s="188" t="s">
        <v>144</v>
      </c>
      <c r="E83" s="45" t="s">
        <v>45</v>
      </c>
      <c r="F83" s="45" t="s">
        <v>46</v>
      </c>
      <c r="G83" s="43" t="s">
        <v>47</v>
      </c>
      <c r="H83" s="46"/>
      <c r="I83" s="47">
        <v>2239.89</v>
      </c>
      <c r="J83" s="135">
        <v>2239.89</v>
      </c>
      <c r="K83" s="49" t="s">
        <v>48</v>
      </c>
      <c r="L83" s="50">
        <v>2239.89</v>
      </c>
      <c r="M83" s="51"/>
      <c r="N83" s="51"/>
      <c r="O83" s="51"/>
      <c r="P83" s="51"/>
      <c r="Q83" s="51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78"/>
      <c r="AC83" s="54">
        <f t="shared" si="10"/>
        <v>2239.89</v>
      </c>
      <c r="AD83" s="1"/>
      <c r="AE83"/>
    </row>
    <row r="84" spans="1:31" ht="14" x14ac:dyDescent="0.3">
      <c r="A84" s="89">
        <v>44109</v>
      </c>
      <c r="B84" s="79">
        <v>744</v>
      </c>
      <c r="C84" s="44" t="s">
        <v>49</v>
      </c>
      <c r="D84" s="188" t="s">
        <v>144</v>
      </c>
      <c r="E84" s="45" t="s">
        <v>45</v>
      </c>
      <c r="F84" s="45" t="s">
        <v>50</v>
      </c>
      <c r="G84" s="43" t="s">
        <v>51</v>
      </c>
      <c r="H84" s="46">
        <f>1.4+1.4+1.8</f>
        <v>4.5999999999999996</v>
      </c>
      <c r="I84" s="47">
        <f>8.4+8.4+10.8</f>
        <v>27.6</v>
      </c>
      <c r="J84" s="135">
        <f t="shared" ref="J84:J85" si="23">+SUM(L84:AB84)+H84</f>
        <v>27.6</v>
      </c>
      <c r="K84" s="49" t="s">
        <v>48</v>
      </c>
      <c r="L84" s="51"/>
      <c r="M84" s="51">
        <f>7+7+9</f>
        <v>23</v>
      </c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7"/>
      <c r="Y84" s="57"/>
      <c r="Z84" s="57"/>
      <c r="AA84" s="57"/>
      <c r="AB84" s="78"/>
      <c r="AC84" s="54">
        <f t="shared" si="10"/>
        <v>23</v>
      </c>
      <c r="AD84" s="1"/>
    </row>
    <row r="85" spans="1:31" ht="14" x14ac:dyDescent="0.3">
      <c r="A85" s="89">
        <v>44109</v>
      </c>
      <c r="B85" s="79">
        <v>744</v>
      </c>
      <c r="C85" s="44" t="s">
        <v>49</v>
      </c>
      <c r="D85" s="188" t="s">
        <v>144</v>
      </c>
      <c r="E85" s="45" t="s">
        <v>45</v>
      </c>
      <c r="F85" s="45" t="s">
        <v>52</v>
      </c>
      <c r="G85" s="61" t="s">
        <v>53</v>
      </c>
      <c r="H85" s="46"/>
      <c r="I85" s="47">
        <v>60.8</v>
      </c>
      <c r="J85" s="135">
        <f t="shared" si="23"/>
        <v>60.8</v>
      </c>
      <c r="K85" s="49" t="s">
        <v>48</v>
      </c>
      <c r="L85" s="51"/>
      <c r="M85" s="51">
        <v>60.8</v>
      </c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62"/>
      <c r="Y85" s="62"/>
      <c r="Z85" s="62"/>
      <c r="AA85" s="62"/>
      <c r="AB85" s="78"/>
      <c r="AC85" s="54">
        <f t="shared" si="10"/>
        <v>60.8</v>
      </c>
      <c r="AD85" s="1"/>
    </row>
    <row r="86" spans="1:31" ht="14.5" thickBot="1" x14ac:dyDescent="0.35">
      <c r="A86" s="89">
        <v>44109</v>
      </c>
      <c r="B86" s="79">
        <v>744</v>
      </c>
      <c r="C86" s="44" t="s">
        <v>49</v>
      </c>
      <c r="D86" s="188" t="s">
        <v>144</v>
      </c>
      <c r="E86" s="45" t="s">
        <v>45</v>
      </c>
      <c r="F86" s="45" t="s">
        <v>115</v>
      </c>
      <c r="G86" s="61" t="s">
        <v>74</v>
      </c>
      <c r="H86" s="46">
        <f>2.4+2.4+2.4</f>
        <v>7.1999999999999993</v>
      </c>
      <c r="I86" s="47">
        <f>14.39+14.39+14.39</f>
        <v>43.17</v>
      </c>
      <c r="J86" s="135">
        <f t="shared" ref="J86:J87" si="24">+SUM(L86:AB86)+H86</f>
        <v>43.17</v>
      </c>
      <c r="K86" s="49" t="s">
        <v>48</v>
      </c>
      <c r="L86" s="51"/>
      <c r="M86" s="51">
        <f>11.99+11.99+11.99</f>
        <v>35.97</v>
      </c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62"/>
      <c r="Y86" s="62"/>
      <c r="Z86" s="62"/>
      <c r="AA86" s="62"/>
      <c r="AB86" s="78"/>
      <c r="AC86" s="54">
        <f t="shared" si="10"/>
        <v>35.97</v>
      </c>
      <c r="AD86" s="1"/>
    </row>
    <row r="87" spans="1:31" ht="14.5" thickTop="1" x14ac:dyDescent="0.3">
      <c r="A87" s="89">
        <v>44109</v>
      </c>
      <c r="B87" s="79">
        <v>744</v>
      </c>
      <c r="C87" s="44" t="s">
        <v>49</v>
      </c>
      <c r="D87" s="188" t="s">
        <v>144</v>
      </c>
      <c r="E87" s="45" t="s">
        <v>45</v>
      </c>
      <c r="F87" s="65" t="s">
        <v>146</v>
      </c>
      <c r="G87" s="43" t="s">
        <v>147</v>
      </c>
      <c r="H87" s="46">
        <f>1.4+1.82+2.42</f>
        <v>5.64</v>
      </c>
      <c r="I87" s="47">
        <f>8.39+10.89+14.5</f>
        <v>33.78</v>
      </c>
      <c r="J87" s="135">
        <f t="shared" si="24"/>
        <v>33.78</v>
      </c>
      <c r="K87" s="49" t="s">
        <v>48</v>
      </c>
      <c r="L87" s="51"/>
      <c r="M87" s="51"/>
      <c r="N87" s="51"/>
      <c r="O87" s="51"/>
      <c r="P87" s="51"/>
      <c r="Q87" s="51"/>
      <c r="R87" s="51"/>
      <c r="S87" s="51"/>
      <c r="T87" s="51"/>
      <c r="U87" s="51">
        <f>12.08+9.07+6.99</f>
        <v>28.14</v>
      </c>
      <c r="V87" s="51"/>
      <c r="W87" s="51"/>
      <c r="X87" s="62"/>
      <c r="Y87" s="62"/>
      <c r="Z87" s="62"/>
      <c r="AA87" s="62"/>
      <c r="AB87" s="78"/>
      <c r="AC87" s="54">
        <f t="shared" si="10"/>
        <v>28.14</v>
      </c>
      <c r="AD87" s="1"/>
    </row>
    <row r="88" spans="1:31" ht="14" x14ac:dyDescent="0.3">
      <c r="A88" s="89">
        <v>44109</v>
      </c>
      <c r="B88" s="79">
        <v>744</v>
      </c>
      <c r="C88" s="44" t="s">
        <v>49</v>
      </c>
      <c r="D88" s="188" t="s">
        <v>144</v>
      </c>
      <c r="E88" s="45" t="s">
        <v>45</v>
      </c>
      <c r="F88" s="70" t="s">
        <v>148</v>
      </c>
      <c r="G88" s="138" t="s">
        <v>77</v>
      </c>
      <c r="H88" s="139"/>
      <c r="I88" s="140">
        <v>5.97</v>
      </c>
      <c r="J88" s="83">
        <f t="shared" ref="J88" si="25">+SUM(L88:AB88)+H88</f>
        <v>5.97</v>
      </c>
      <c r="K88" s="93" t="s">
        <v>48</v>
      </c>
      <c r="L88" s="76"/>
      <c r="M88" s="76"/>
      <c r="N88" s="76">
        <v>5.97</v>
      </c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8"/>
      <c r="AC88" s="54">
        <f t="shared" si="10"/>
        <v>5.97</v>
      </c>
      <c r="AD88" s="1"/>
    </row>
    <row r="89" spans="1:31" ht="14" x14ac:dyDescent="0.3">
      <c r="A89" s="89">
        <v>44109</v>
      </c>
      <c r="B89" s="79">
        <v>744</v>
      </c>
      <c r="C89" s="44" t="s">
        <v>49</v>
      </c>
      <c r="D89" s="188" t="s">
        <v>144</v>
      </c>
      <c r="E89" s="45" t="s">
        <v>45</v>
      </c>
      <c r="F89" s="70" t="s">
        <v>118</v>
      </c>
      <c r="G89" s="138" t="s">
        <v>55</v>
      </c>
      <c r="H89" s="139">
        <v>2.39</v>
      </c>
      <c r="I89" s="140">
        <v>14.32</v>
      </c>
      <c r="J89" s="83">
        <f>+SUM(L89:AB89)+H89</f>
        <v>14.32</v>
      </c>
      <c r="K89" s="93" t="s">
        <v>48</v>
      </c>
      <c r="L89" s="76"/>
      <c r="M89" s="76">
        <v>11.93</v>
      </c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8"/>
      <c r="AC89" s="54">
        <f t="shared" si="10"/>
        <v>11.93</v>
      </c>
      <c r="AD89" s="1"/>
    </row>
    <row r="90" spans="1:31" ht="14" x14ac:dyDescent="0.3">
      <c r="A90" s="89">
        <v>44109</v>
      </c>
      <c r="B90" s="79">
        <v>744</v>
      </c>
      <c r="C90" s="44" t="s">
        <v>49</v>
      </c>
      <c r="D90" s="188" t="s">
        <v>144</v>
      </c>
      <c r="E90" s="45" t="s">
        <v>45</v>
      </c>
      <c r="F90" s="70" t="s">
        <v>149</v>
      </c>
      <c r="G90" s="138" t="s">
        <v>117</v>
      </c>
      <c r="H90" s="139"/>
      <c r="I90" s="140">
        <v>7.8</v>
      </c>
      <c r="J90" s="83">
        <f t="shared" ref="J90:J113" si="26">+SUM(L90:AB90)+H90</f>
        <v>7.8</v>
      </c>
      <c r="K90" s="93" t="s">
        <v>48</v>
      </c>
      <c r="L90" s="76"/>
      <c r="M90" s="76">
        <v>7.8</v>
      </c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8"/>
      <c r="AC90" s="54">
        <f t="shared" si="10"/>
        <v>7.8</v>
      </c>
      <c r="AD90" s="1"/>
    </row>
    <row r="91" spans="1:31" ht="14" x14ac:dyDescent="0.3">
      <c r="A91" s="89">
        <v>44109</v>
      </c>
      <c r="B91" s="79">
        <v>745</v>
      </c>
      <c r="C91" s="44" t="s">
        <v>43</v>
      </c>
      <c r="D91" s="188" t="s">
        <v>144</v>
      </c>
      <c r="E91" s="70" t="s">
        <v>58</v>
      </c>
      <c r="F91" s="45" t="s">
        <v>59</v>
      </c>
      <c r="G91" s="43" t="s">
        <v>60</v>
      </c>
      <c r="H91" s="46"/>
      <c r="I91" s="47">
        <v>11.58</v>
      </c>
      <c r="J91" s="135">
        <f t="shared" si="26"/>
        <v>11.58</v>
      </c>
      <c r="K91" s="49" t="s">
        <v>48</v>
      </c>
      <c r="L91" s="51">
        <v>11.58</v>
      </c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8"/>
      <c r="AC91" s="54">
        <f t="shared" si="10"/>
        <v>11.58</v>
      </c>
      <c r="AD91" s="1"/>
    </row>
    <row r="92" spans="1:31" ht="14" x14ac:dyDescent="0.3">
      <c r="A92" s="89">
        <v>44109</v>
      </c>
      <c r="B92" s="79">
        <v>746</v>
      </c>
      <c r="C92" s="44" t="s">
        <v>106</v>
      </c>
      <c r="D92" s="188" t="s">
        <v>144</v>
      </c>
      <c r="E92" s="70" t="s">
        <v>150</v>
      </c>
      <c r="F92" s="70" t="s">
        <v>151</v>
      </c>
      <c r="G92" s="94" t="s">
        <v>147</v>
      </c>
      <c r="H92" s="191">
        <v>34</v>
      </c>
      <c r="I92" s="73">
        <v>204</v>
      </c>
      <c r="J92" s="83">
        <f t="shared" si="26"/>
        <v>204</v>
      </c>
      <c r="K92" s="75" t="s">
        <v>48</v>
      </c>
      <c r="L92" s="76"/>
      <c r="M92" s="76"/>
      <c r="N92" s="76"/>
      <c r="O92" s="192"/>
      <c r="P92" s="192"/>
      <c r="Q92" s="192"/>
      <c r="R92" s="76"/>
      <c r="S92" s="76"/>
      <c r="T92" s="76"/>
      <c r="U92" s="76">
        <v>170</v>
      </c>
      <c r="V92" s="76"/>
      <c r="W92" s="76"/>
      <c r="X92" s="76"/>
      <c r="Y92" s="76"/>
      <c r="Z92" s="76"/>
      <c r="AA92" s="76"/>
      <c r="AB92" s="78"/>
      <c r="AC92" s="54">
        <f t="shared" si="10"/>
        <v>170</v>
      </c>
      <c r="AD92" s="1"/>
    </row>
    <row r="93" spans="1:31" ht="14" x14ac:dyDescent="0.3">
      <c r="A93" s="89">
        <v>44109</v>
      </c>
      <c r="B93" s="79">
        <v>747</v>
      </c>
      <c r="C93" s="44" t="s">
        <v>106</v>
      </c>
      <c r="D93" s="188" t="s">
        <v>144</v>
      </c>
      <c r="E93" s="70" t="s">
        <v>125</v>
      </c>
      <c r="F93" s="70" t="s">
        <v>152</v>
      </c>
      <c r="G93" s="94" t="s">
        <v>77</v>
      </c>
      <c r="H93" s="193">
        <v>12.63</v>
      </c>
      <c r="I93" s="73">
        <v>75.78</v>
      </c>
      <c r="J93" s="83">
        <f t="shared" si="26"/>
        <v>75.78</v>
      </c>
      <c r="K93" s="75" t="s">
        <v>48</v>
      </c>
      <c r="L93" s="76"/>
      <c r="M93" s="76"/>
      <c r="N93" s="76">
        <v>63.15</v>
      </c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8"/>
      <c r="AC93" s="54">
        <f t="shared" si="10"/>
        <v>63.15</v>
      </c>
      <c r="AD93" s="1"/>
    </row>
    <row r="94" spans="1:31" ht="14" x14ac:dyDescent="0.3">
      <c r="A94" s="89">
        <v>44109</v>
      </c>
      <c r="B94" s="79">
        <v>748</v>
      </c>
      <c r="C94" s="44" t="s">
        <v>43</v>
      </c>
      <c r="D94" s="188" t="s">
        <v>144</v>
      </c>
      <c r="E94" s="84" t="s">
        <v>92</v>
      </c>
      <c r="F94" s="84" t="s">
        <v>93</v>
      </c>
      <c r="G94" s="94" t="s">
        <v>91</v>
      </c>
      <c r="H94" s="72">
        <v>19.11</v>
      </c>
      <c r="I94" s="73">
        <v>114.66</v>
      </c>
      <c r="J94" s="83">
        <f t="shared" si="26"/>
        <v>114.66</v>
      </c>
      <c r="K94" s="93" t="s">
        <v>48</v>
      </c>
      <c r="L94" s="76"/>
      <c r="M94" s="76"/>
      <c r="N94" s="76"/>
      <c r="O94" s="76">
        <v>95.55</v>
      </c>
      <c r="P94" s="76"/>
      <c r="Q94" s="143"/>
      <c r="R94" s="194"/>
      <c r="S94" s="76"/>
      <c r="T94" s="76"/>
      <c r="U94" s="76"/>
      <c r="V94" s="76"/>
      <c r="W94" s="76"/>
      <c r="X94" s="76"/>
      <c r="Y94" s="76"/>
      <c r="Z94" s="76"/>
      <c r="AA94" s="76"/>
      <c r="AB94" s="78"/>
      <c r="AC94" s="54">
        <f t="shared" si="10"/>
        <v>95.55</v>
      </c>
      <c r="AD94" s="1"/>
    </row>
    <row r="95" spans="1:31" ht="14" x14ac:dyDescent="0.3">
      <c r="A95" s="89">
        <v>44109</v>
      </c>
      <c r="B95" s="79">
        <v>749</v>
      </c>
      <c r="C95" s="44" t="s">
        <v>43</v>
      </c>
      <c r="D95" s="188" t="s">
        <v>144</v>
      </c>
      <c r="E95" s="70" t="s">
        <v>67</v>
      </c>
      <c r="F95" s="70" t="s">
        <v>68</v>
      </c>
      <c r="G95" s="49" t="s">
        <v>69</v>
      </c>
      <c r="H95" s="46">
        <v>35.33</v>
      </c>
      <c r="I95" s="67">
        <v>212</v>
      </c>
      <c r="J95" s="135">
        <f t="shared" si="26"/>
        <v>212</v>
      </c>
      <c r="K95" s="69" t="s">
        <v>48</v>
      </c>
      <c r="L95" s="62"/>
      <c r="M95" s="62"/>
      <c r="N95" s="62">
        <v>176.67</v>
      </c>
      <c r="O95" s="76"/>
      <c r="P95" s="195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7"/>
      <c r="AC95" s="54">
        <f t="shared" si="10"/>
        <v>176.67</v>
      </c>
      <c r="AD95" s="1"/>
    </row>
    <row r="96" spans="1:31" ht="14" x14ac:dyDescent="0.3">
      <c r="A96" s="89">
        <v>44109</v>
      </c>
      <c r="B96" s="79">
        <v>749</v>
      </c>
      <c r="C96" s="44" t="s">
        <v>106</v>
      </c>
      <c r="D96" s="188" t="s">
        <v>144</v>
      </c>
      <c r="E96" s="70" t="s">
        <v>67</v>
      </c>
      <c r="F96" s="70" t="s">
        <v>153</v>
      </c>
      <c r="G96" s="71" t="s">
        <v>110</v>
      </c>
      <c r="H96" s="72">
        <v>100</v>
      </c>
      <c r="I96" s="73">
        <v>600</v>
      </c>
      <c r="J96" s="83">
        <f t="shared" si="26"/>
        <v>600</v>
      </c>
      <c r="K96" s="93" t="s">
        <v>48</v>
      </c>
      <c r="L96" s="76"/>
      <c r="M96" s="76"/>
      <c r="N96" s="76">
        <v>500</v>
      </c>
      <c r="O96" s="76"/>
      <c r="P96" s="142"/>
      <c r="Q96" s="142"/>
      <c r="R96" s="142"/>
      <c r="S96" s="142"/>
      <c r="T96" s="76"/>
      <c r="U96" s="76"/>
      <c r="V96" s="76"/>
      <c r="W96" s="76"/>
      <c r="X96" s="76"/>
      <c r="Y96" s="76"/>
      <c r="Z96" s="76"/>
      <c r="AA96" s="76"/>
      <c r="AB96" s="78"/>
      <c r="AC96" s="54">
        <f t="shared" si="10"/>
        <v>500</v>
      </c>
      <c r="AD96" s="1"/>
    </row>
    <row r="97" spans="1:30" ht="14" x14ac:dyDescent="0.3">
      <c r="A97" s="89">
        <v>44109</v>
      </c>
      <c r="B97" s="79">
        <v>750</v>
      </c>
      <c r="C97" s="44" t="s">
        <v>106</v>
      </c>
      <c r="D97" s="188" t="s">
        <v>144</v>
      </c>
      <c r="E97" s="70" t="s">
        <v>154</v>
      </c>
      <c r="F97" s="70" t="s">
        <v>155</v>
      </c>
      <c r="G97" s="198" t="s">
        <v>57</v>
      </c>
      <c r="H97" s="193">
        <v>38.21</v>
      </c>
      <c r="I97" s="199">
        <v>229.24</v>
      </c>
      <c r="J97" s="83">
        <f t="shared" si="26"/>
        <v>229.24</v>
      </c>
      <c r="K97" s="94" t="s">
        <v>48</v>
      </c>
      <c r="L97" s="142"/>
      <c r="M97" s="142"/>
      <c r="N97" s="142"/>
      <c r="O97" s="142"/>
      <c r="P97" s="142"/>
      <c r="Q97" s="196"/>
      <c r="R97" s="196"/>
      <c r="S97" s="196">
        <v>191.03</v>
      </c>
      <c r="T97" s="142"/>
      <c r="U97" s="196"/>
      <c r="V97" s="196"/>
      <c r="W97" s="196"/>
      <c r="X97" s="196"/>
      <c r="Y97" s="196"/>
      <c r="Z97" s="196"/>
      <c r="AA97" s="196"/>
      <c r="AB97" s="197"/>
      <c r="AC97" s="54">
        <f t="shared" si="10"/>
        <v>191.03</v>
      </c>
      <c r="AD97" s="1"/>
    </row>
    <row r="98" spans="1:30" ht="14" x14ac:dyDescent="0.3">
      <c r="A98" s="200">
        <v>44113</v>
      </c>
      <c r="B98" s="79" t="s">
        <v>78</v>
      </c>
      <c r="C98" s="44" t="s">
        <v>43</v>
      </c>
      <c r="D98" s="188" t="s">
        <v>144</v>
      </c>
      <c r="E98" s="84" t="s">
        <v>79</v>
      </c>
      <c r="F98" s="84" t="s">
        <v>80</v>
      </c>
      <c r="G98" s="85" t="s">
        <v>81</v>
      </c>
      <c r="H98" s="72">
        <v>2.09</v>
      </c>
      <c r="I98" s="86">
        <v>12.56</v>
      </c>
      <c r="J98" s="83">
        <f t="shared" si="26"/>
        <v>12.56</v>
      </c>
      <c r="K98" s="87" t="s">
        <v>48</v>
      </c>
      <c r="L98" s="76"/>
      <c r="M98" s="76">
        <v>10.47</v>
      </c>
      <c r="N98" s="76"/>
      <c r="O98" s="196"/>
      <c r="P98" s="195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7"/>
      <c r="AC98" s="54">
        <f t="shared" si="10"/>
        <v>10.47</v>
      </c>
      <c r="AD98" s="1"/>
    </row>
    <row r="99" spans="1:30" ht="14" x14ac:dyDescent="0.3">
      <c r="A99" s="89">
        <v>44137</v>
      </c>
      <c r="B99" s="201">
        <v>751</v>
      </c>
      <c r="C99" s="202" t="s">
        <v>49</v>
      </c>
      <c r="D99" s="188" t="s">
        <v>144</v>
      </c>
      <c r="E99" s="203" t="s">
        <v>45</v>
      </c>
      <c r="F99" s="203" t="s">
        <v>156</v>
      </c>
      <c r="G99" s="204" t="s">
        <v>81</v>
      </c>
      <c r="H99" s="141">
        <v>104.83</v>
      </c>
      <c r="I99" s="140">
        <v>688.99</v>
      </c>
      <c r="J99" s="83">
        <f t="shared" si="26"/>
        <v>688.99</v>
      </c>
      <c r="K99" s="93" t="s">
        <v>48</v>
      </c>
      <c r="L99" s="196"/>
      <c r="M99" s="196">
        <v>584.16</v>
      </c>
      <c r="N99" s="196"/>
      <c r="O99" s="205"/>
      <c r="P99" s="195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7"/>
      <c r="AC99" s="54">
        <f t="shared" si="10"/>
        <v>584.16</v>
      </c>
      <c r="AD99" s="1"/>
    </row>
    <row r="100" spans="1:30" ht="14" x14ac:dyDescent="0.3">
      <c r="A100" s="89">
        <v>44137</v>
      </c>
      <c r="B100" s="79">
        <v>752</v>
      </c>
      <c r="C100" s="44" t="s">
        <v>106</v>
      </c>
      <c r="D100" s="188" t="s">
        <v>144</v>
      </c>
      <c r="E100" s="70" t="s">
        <v>157</v>
      </c>
      <c r="F100" s="70" t="s">
        <v>158</v>
      </c>
      <c r="G100" s="80" t="s">
        <v>57</v>
      </c>
      <c r="H100" s="193"/>
      <c r="I100" s="206">
        <v>25</v>
      </c>
      <c r="J100" s="83">
        <f t="shared" si="26"/>
        <v>25</v>
      </c>
      <c r="K100" s="93" t="s">
        <v>48</v>
      </c>
      <c r="L100" s="76"/>
      <c r="M100" s="76"/>
      <c r="N100" s="76"/>
      <c r="O100" s="196"/>
      <c r="P100" s="195"/>
      <c r="Q100" s="196"/>
      <c r="R100" s="196"/>
      <c r="S100" s="196">
        <v>25</v>
      </c>
      <c r="T100" s="196"/>
      <c r="U100" s="196"/>
      <c r="V100" s="196"/>
      <c r="W100" s="196"/>
      <c r="X100" s="196"/>
      <c r="Y100" s="196"/>
      <c r="Z100" s="196"/>
      <c r="AA100" s="196"/>
      <c r="AB100" s="197"/>
      <c r="AC100" s="54">
        <f t="shared" si="10"/>
        <v>25</v>
      </c>
      <c r="AD100" s="1"/>
    </row>
    <row r="101" spans="1:30" ht="14" x14ac:dyDescent="0.3">
      <c r="A101" s="89">
        <v>44137</v>
      </c>
      <c r="B101" s="79">
        <v>753</v>
      </c>
      <c r="C101" s="44" t="s">
        <v>43</v>
      </c>
      <c r="D101" s="188" t="s">
        <v>144</v>
      </c>
      <c r="E101" s="70" t="s">
        <v>92</v>
      </c>
      <c r="F101" s="70" t="s">
        <v>93</v>
      </c>
      <c r="G101" s="94" t="s">
        <v>91</v>
      </c>
      <c r="H101" s="193">
        <v>19.14</v>
      </c>
      <c r="I101" s="86">
        <v>114.84</v>
      </c>
      <c r="J101" s="83">
        <f t="shared" si="26"/>
        <v>114.84</v>
      </c>
      <c r="K101" s="93" t="s">
        <v>48</v>
      </c>
      <c r="L101" s="76"/>
      <c r="M101" s="76"/>
      <c r="N101" s="76"/>
      <c r="O101" s="196">
        <v>95.7</v>
      </c>
      <c r="P101" s="195"/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  <c r="AA101" s="196"/>
      <c r="AB101" s="197"/>
      <c r="AC101" s="54">
        <f t="shared" si="10"/>
        <v>95.7</v>
      </c>
      <c r="AD101" s="1"/>
    </row>
    <row r="102" spans="1:30" ht="12" customHeight="1" x14ac:dyDescent="0.3">
      <c r="A102" s="89">
        <v>44137</v>
      </c>
      <c r="B102" s="79">
        <v>754</v>
      </c>
      <c r="C102" s="44" t="s">
        <v>43</v>
      </c>
      <c r="D102" s="188" t="s">
        <v>144</v>
      </c>
      <c r="E102" s="70" t="s">
        <v>67</v>
      </c>
      <c r="F102" s="70" t="s">
        <v>68</v>
      </c>
      <c r="G102" s="71" t="s">
        <v>69</v>
      </c>
      <c r="H102" s="193">
        <v>35.33</v>
      </c>
      <c r="I102" s="86">
        <v>212</v>
      </c>
      <c r="J102" s="83">
        <f t="shared" si="26"/>
        <v>212</v>
      </c>
      <c r="K102" s="75" t="s">
        <v>48</v>
      </c>
      <c r="L102" s="76"/>
      <c r="M102" s="76"/>
      <c r="N102" s="76">
        <v>176.67</v>
      </c>
      <c r="O102" s="196"/>
      <c r="P102" s="195"/>
      <c r="Q102" s="196"/>
      <c r="R102" s="196"/>
      <c r="S102" s="196"/>
      <c r="T102" s="196"/>
      <c r="U102" s="196"/>
      <c r="V102" s="196"/>
      <c r="W102" s="196"/>
      <c r="X102" s="196"/>
      <c r="Y102" s="196"/>
      <c r="Z102" s="196"/>
      <c r="AA102" s="196"/>
      <c r="AB102" s="197"/>
      <c r="AC102" s="54">
        <f t="shared" si="10"/>
        <v>176.67</v>
      </c>
      <c r="AD102" s="1"/>
    </row>
    <row r="103" spans="1:30" ht="14" x14ac:dyDescent="0.3">
      <c r="A103" s="89">
        <v>44137</v>
      </c>
      <c r="B103" s="79">
        <v>755</v>
      </c>
      <c r="C103" s="44" t="s">
        <v>43</v>
      </c>
      <c r="D103" s="188" t="s">
        <v>144</v>
      </c>
      <c r="E103" s="70" t="s">
        <v>159</v>
      </c>
      <c r="F103" s="70" t="s">
        <v>160</v>
      </c>
      <c r="G103" s="80" t="s">
        <v>136</v>
      </c>
      <c r="H103" s="72"/>
      <c r="I103" s="206">
        <v>200</v>
      </c>
      <c r="J103" s="83">
        <f t="shared" si="26"/>
        <v>200</v>
      </c>
      <c r="K103" s="93" t="s">
        <v>48</v>
      </c>
      <c r="L103" s="76"/>
      <c r="M103" s="76"/>
      <c r="N103" s="76">
        <v>200</v>
      </c>
      <c r="O103" s="196"/>
      <c r="P103" s="195"/>
      <c r="Q103" s="196"/>
      <c r="R103" s="196"/>
      <c r="S103" s="196"/>
      <c r="T103" s="196"/>
      <c r="U103" s="196"/>
      <c r="V103" s="196"/>
      <c r="W103" s="196"/>
      <c r="X103" s="196"/>
      <c r="Y103" s="196"/>
      <c r="Z103" s="196"/>
      <c r="AA103" s="196"/>
      <c r="AB103" s="197"/>
      <c r="AC103" s="54">
        <f t="shared" si="10"/>
        <v>200</v>
      </c>
      <c r="AD103" s="1"/>
    </row>
    <row r="104" spans="1:30" ht="14" x14ac:dyDescent="0.3">
      <c r="A104" s="89">
        <v>44158</v>
      </c>
      <c r="B104" s="79">
        <v>756</v>
      </c>
      <c r="C104" s="44" t="s">
        <v>98</v>
      </c>
      <c r="D104" s="188" t="s">
        <v>144</v>
      </c>
      <c r="E104" s="84" t="s">
        <v>161</v>
      </c>
      <c r="F104" s="84" t="s">
        <v>162</v>
      </c>
      <c r="G104" s="207" t="s">
        <v>101</v>
      </c>
      <c r="H104" s="193"/>
      <c r="I104" s="86">
        <v>750</v>
      </c>
      <c r="J104" s="83">
        <f t="shared" si="26"/>
        <v>750</v>
      </c>
      <c r="K104" s="93" t="s">
        <v>48</v>
      </c>
      <c r="L104" s="196"/>
      <c r="M104" s="196"/>
      <c r="N104" s="196"/>
      <c r="O104" s="196"/>
      <c r="P104" s="195"/>
      <c r="Q104" s="196">
        <v>750</v>
      </c>
      <c r="R104" s="196"/>
      <c r="S104" s="196"/>
      <c r="T104" s="196"/>
      <c r="U104" s="196"/>
      <c r="V104" s="196"/>
      <c r="W104" s="196"/>
      <c r="X104" s="196"/>
      <c r="Y104" s="196"/>
      <c r="Z104" s="196"/>
      <c r="AA104" s="196"/>
      <c r="AB104" s="197"/>
      <c r="AC104" s="54">
        <f t="shared" si="10"/>
        <v>750</v>
      </c>
      <c r="AD104" s="1"/>
    </row>
    <row r="105" spans="1:30" ht="14" x14ac:dyDescent="0.3">
      <c r="A105" s="89">
        <v>44158</v>
      </c>
      <c r="B105" s="79">
        <v>757</v>
      </c>
      <c r="C105" s="44" t="s">
        <v>98</v>
      </c>
      <c r="D105" s="188" t="s">
        <v>144</v>
      </c>
      <c r="E105" s="84" t="s">
        <v>157</v>
      </c>
      <c r="F105" s="84" t="s">
        <v>163</v>
      </c>
      <c r="G105" s="204" t="s">
        <v>164</v>
      </c>
      <c r="H105" s="208"/>
      <c r="I105" s="206">
        <v>2000</v>
      </c>
      <c r="J105" s="83">
        <f t="shared" si="26"/>
        <v>2000</v>
      </c>
      <c r="K105" s="209" t="s">
        <v>48</v>
      </c>
      <c r="L105" s="142"/>
      <c r="M105" s="142"/>
      <c r="N105" s="142"/>
      <c r="O105" s="143"/>
      <c r="P105" s="143"/>
      <c r="Q105" s="143">
        <v>2000</v>
      </c>
      <c r="R105" s="143"/>
      <c r="S105" s="143"/>
      <c r="T105" s="143"/>
      <c r="U105" s="143"/>
      <c r="V105" s="196"/>
      <c r="W105" s="196"/>
      <c r="X105" s="196"/>
      <c r="Y105" s="196"/>
      <c r="Z105" s="196"/>
      <c r="AA105" s="196"/>
      <c r="AB105" s="197"/>
      <c r="AC105" s="54">
        <f t="shared" si="10"/>
        <v>2000</v>
      </c>
      <c r="AD105" s="1"/>
    </row>
    <row r="106" spans="1:30" ht="14" x14ac:dyDescent="0.3">
      <c r="A106" s="89">
        <v>44172</v>
      </c>
      <c r="B106" s="79">
        <v>758</v>
      </c>
      <c r="C106" s="44" t="s">
        <v>49</v>
      </c>
      <c r="D106" s="188" t="s">
        <v>144</v>
      </c>
      <c r="E106" s="84" t="s">
        <v>45</v>
      </c>
      <c r="F106" s="70" t="s">
        <v>165</v>
      </c>
      <c r="G106" s="94" t="s">
        <v>166</v>
      </c>
      <c r="H106" s="193">
        <v>38.33</v>
      </c>
      <c r="I106" s="86">
        <v>292.89999999999998</v>
      </c>
      <c r="J106" s="83">
        <f t="shared" si="26"/>
        <v>292.89999999999998</v>
      </c>
      <c r="K106" s="209" t="s">
        <v>48</v>
      </c>
      <c r="L106" s="142"/>
      <c r="M106" s="142"/>
      <c r="N106" s="142"/>
      <c r="O106" s="143"/>
      <c r="P106" s="143"/>
      <c r="Q106" s="143"/>
      <c r="R106" s="143">
        <v>254.57</v>
      </c>
      <c r="S106" s="143"/>
      <c r="T106" s="143"/>
      <c r="U106" s="143"/>
      <c r="V106" s="196"/>
      <c r="W106" s="196"/>
      <c r="X106" s="196"/>
      <c r="Y106" s="196"/>
      <c r="Z106" s="196"/>
      <c r="AA106" s="196"/>
      <c r="AB106" s="197"/>
      <c r="AC106" s="54">
        <f t="shared" si="10"/>
        <v>254.57</v>
      </c>
      <c r="AD106" s="1"/>
    </row>
    <row r="107" spans="1:30" ht="14" x14ac:dyDescent="0.3">
      <c r="A107" s="89">
        <v>44172</v>
      </c>
      <c r="B107" s="79">
        <v>759</v>
      </c>
      <c r="C107" s="44" t="s">
        <v>43</v>
      </c>
      <c r="D107" s="188" t="s">
        <v>144</v>
      </c>
      <c r="E107" s="84" t="s">
        <v>67</v>
      </c>
      <c r="F107" s="70" t="s">
        <v>68</v>
      </c>
      <c r="G107" s="49" t="s">
        <v>69</v>
      </c>
      <c r="H107" s="46">
        <v>35.33</v>
      </c>
      <c r="I107" s="210">
        <v>212</v>
      </c>
      <c r="J107" s="135">
        <f t="shared" si="26"/>
        <v>212</v>
      </c>
      <c r="K107" s="69" t="s">
        <v>48</v>
      </c>
      <c r="L107" s="62"/>
      <c r="M107" s="62"/>
      <c r="N107" s="62">
        <v>176.67</v>
      </c>
      <c r="O107" s="76"/>
      <c r="P107" s="195"/>
      <c r="Q107" s="143"/>
      <c r="R107" s="143"/>
      <c r="S107" s="143"/>
      <c r="T107" s="143"/>
      <c r="U107" s="143"/>
      <c r="V107" s="196"/>
      <c r="W107" s="196"/>
      <c r="X107" s="196"/>
      <c r="Y107" s="196"/>
      <c r="Z107" s="196"/>
      <c r="AA107" s="196"/>
      <c r="AB107" s="197"/>
      <c r="AC107" s="54">
        <f t="shared" ref="AC107:AC168" si="27">SUM(L107:AB107)</f>
        <v>176.67</v>
      </c>
      <c r="AD107" s="1"/>
    </row>
    <row r="108" spans="1:30" ht="14" x14ac:dyDescent="0.3">
      <c r="A108" s="89">
        <v>44172</v>
      </c>
      <c r="B108" s="79">
        <v>759</v>
      </c>
      <c r="C108" s="44" t="s">
        <v>167</v>
      </c>
      <c r="D108" s="188" t="s">
        <v>144</v>
      </c>
      <c r="E108" s="70" t="s">
        <v>67</v>
      </c>
      <c r="F108" s="70" t="s">
        <v>111</v>
      </c>
      <c r="G108" s="71" t="s">
        <v>110</v>
      </c>
      <c r="H108" s="72">
        <v>50</v>
      </c>
      <c r="I108" s="86">
        <v>300</v>
      </c>
      <c r="J108" s="83">
        <f t="shared" si="26"/>
        <v>300</v>
      </c>
      <c r="K108" s="93" t="s">
        <v>48</v>
      </c>
      <c r="L108" s="76"/>
      <c r="M108" s="76"/>
      <c r="N108" s="76">
        <v>250</v>
      </c>
      <c r="O108" s="76"/>
      <c r="P108" s="143"/>
      <c r="Q108" s="143"/>
      <c r="R108" s="143"/>
      <c r="S108" s="143"/>
      <c r="T108" s="143"/>
      <c r="U108" s="143"/>
      <c r="V108" s="196"/>
      <c r="W108" s="196"/>
      <c r="X108" s="196"/>
      <c r="Y108" s="196"/>
      <c r="Z108" s="196"/>
      <c r="AA108" s="196"/>
      <c r="AB108" s="197"/>
      <c r="AC108" s="54">
        <f t="shared" si="27"/>
        <v>250</v>
      </c>
      <c r="AD108" s="1"/>
    </row>
    <row r="109" spans="1:30" ht="14" x14ac:dyDescent="0.3">
      <c r="A109" s="89">
        <v>44172</v>
      </c>
      <c r="B109" s="79">
        <v>759</v>
      </c>
      <c r="C109" s="44" t="s">
        <v>167</v>
      </c>
      <c r="D109" s="188" t="s">
        <v>144</v>
      </c>
      <c r="E109" s="84" t="s">
        <v>67</v>
      </c>
      <c r="F109" s="70" t="s">
        <v>168</v>
      </c>
      <c r="G109" s="81" t="s">
        <v>110</v>
      </c>
      <c r="H109" s="191">
        <v>68</v>
      </c>
      <c r="I109" s="86">
        <v>408</v>
      </c>
      <c r="J109" s="83">
        <f t="shared" si="26"/>
        <v>408</v>
      </c>
      <c r="K109" s="94" t="s">
        <v>48</v>
      </c>
      <c r="L109" s="76"/>
      <c r="M109" s="76"/>
      <c r="N109" s="76">
        <v>340</v>
      </c>
      <c r="O109" s="76"/>
      <c r="P109" s="76"/>
      <c r="Q109" s="77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8"/>
      <c r="AC109" s="54">
        <f t="shared" si="27"/>
        <v>340</v>
      </c>
      <c r="AD109" s="1"/>
    </row>
    <row r="110" spans="1:30" ht="14" x14ac:dyDescent="0.3">
      <c r="A110" s="89">
        <v>44172</v>
      </c>
      <c r="B110" s="79">
        <v>760</v>
      </c>
      <c r="C110" s="44" t="s">
        <v>167</v>
      </c>
      <c r="D110" s="188" t="s">
        <v>144</v>
      </c>
      <c r="E110" s="84" t="s">
        <v>128</v>
      </c>
      <c r="F110" s="84" t="s">
        <v>169</v>
      </c>
      <c r="G110" s="211" t="s">
        <v>130</v>
      </c>
      <c r="H110" s="191">
        <v>516</v>
      </c>
      <c r="I110" s="86">
        <v>3096</v>
      </c>
      <c r="J110" s="83">
        <f t="shared" si="26"/>
        <v>3096</v>
      </c>
      <c r="K110" s="94" t="s">
        <v>170</v>
      </c>
      <c r="L110" s="76"/>
      <c r="M110" s="76"/>
      <c r="N110" s="76"/>
      <c r="O110" s="76"/>
      <c r="P110" s="76"/>
      <c r="Q110" s="77"/>
      <c r="R110" s="76"/>
      <c r="S110" s="76"/>
      <c r="T110" s="76">
        <v>2580</v>
      </c>
      <c r="U110" s="76"/>
      <c r="V110" s="76"/>
      <c r="W110" s="76"/>
      <c r="X110" s="76"/>
      <c r="Y110" s="76"/>
      <c r="Z110" s="76"/>
      <c r="AA110" s="76"/>
      <c r="AB110" s="78"/>
      <c r="AC110" s="54">
        <f t="shared" si="27"/>
        <v>2580</v>
      </c>
      <c r="AD110" s="1"/>
    </row>
    <row r="111" spans="1:30" ht="14" x14ac:dyDescent="0.3">
      <c r="A111" s="89">
        <v>44172</v>
      </c>
      <c r="B111" s="79">
        <v>761</v>
      </c>
      <c r="C111" s="44" t="s">
        <v>43</v>
      </c>
      <c r="D111" s="188" t="s">
        <v>144</v>
      </c>
      <c r="E111" s="70" t="s">
        <v>92</v>
      </c>
      <c r="F111" s="70" t="s">
        <v>93</v>
      </c>
      <c r="G111" s="94" t="s">
        <v>91</v>
      </c>
      <c r="H111" s="72">
        <v>19.77</v>
      </c>
      <c r="I111" s="86">
        <v>118.62</v>
      </c>
      <c r="J111" s="83">
        <f t="shared" si="26"/>
        <v>118.61999999999999</v>
      </c>
      <c r="K111" s="94" t="s">
        <v>48</v>
      </c>
      <c r="L111" s="76"/>
      <c r="M111" s="76"/>
      <c r="N111" s="76"/>
      <c r="O111" s="76">
        <v>98.85</v>
      </c>
      <c r="P111" s="76"/>
      <c r="Q111" s="77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8"/>
      <c r="AC111" s="54">
        <f t="shared" si="27"/>
        <v>98.85</v>
      </c>
      <c r="AD111" s="1"/>
    </row>
    <row r="112" spans="1:30" ht="14" x14ac:dyDescent="0.3">
      <c r="A112" s="89"/>
      <c r="B112" s="79"/>
      <c r="C112" s="44"/>
      <c r="D112" s="188"/>
      <c r="E112" s="70"/>
      <c r="F112" s="70"/>
      <c r="G112" s="82"/>
      <c r="H112" s="72"/>
      <c r="I112" s="86"/>
      <c r="J112" s="83">
        <f t="shared" si="26"/>
        <v>0</v>
      </c>
      <c r="K112" s="94"/>
      <c r="L112" s="76"/>
      <c r="M112" s="76"/>
      <c r="N112" s="76"/>
      <c r="O112" s="76"/>
      <c r="P112" s="76"/>
      <c r="Q112" s="77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8"/>
      <c r="AC112" s="54">
        <f t="shared" si="27"/>
        <v>0</v>
      </c>
      <c r="AD112" s="1"/>
    </row>
    <row r="113" spans="1:30" ht="14" x14ac:dyDescent="0.3">
      <c r="A113" s="89"/>
      <c r="B113" s="79"/>
      <c r="C113" s="44"/>
      <c r="D113" s="188"/>
      <c r="E113" s="70"/>
      <c r="F113" s="70"/>
      <c r="G113" s="82"/>
      <c r="H113" s="72"/>
      <c r="I113" s="86"/>
      <c r="J113" s="83">
        <f t="shared" si="26"/>
        <v>0</v>
      </c>
      <c r="K113" s="93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8"/>
      <c r="AC113" s="54">
        <f t="shared" si="27"/>
        <v>0</v>
      </c>
      <c r="AD113" s="1"/>
    </row>
    <row r="114" spans="1:30" ht="14" x14ac:dyDescent="0.3">
      <c r="A114" s="89"/>
      <c r="B114" s="79"/>
      <c r="C114" s="44"/>
      <c r="D114" s="188"/>
      <c r="E114" s="70"/>
      <c r="F114" s="70"/>
      <c r="G114" s="80"/>
      <c r="H114" s="191"/>
      <c r="I114" s="206"/>
      <c r="J114" s="74">
        <f t="shared" ref="J114:J117" si="28">+SUM(L113:AB113)+H114</f>
        <v>0</v>
      </c>
      <c r="K114" s="93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8"/>
      <c r="AC114" s="54">
        <f t="shared" si="27"/>
        <v>0</v>
      </c>
      <c r="AD114" s="1"/>
    </row>
    <row r="115" spans="1:30" ht="14" x14ac:dyDescent="0.3">
      <c r="A115" s="89"/>
      <c r="B115" s="79"/>
      <c r="C115" s="44"/>
      <c r="D115" s="188"/>
      <c r="E115" s="70"/>
      <c r="F115" s="70"/>
      <c r="G115" s="80"/>
      <c r="H115" s="191"/>
      <c r="I115" s="206"/>
      <c r="J115" s="74">
        <f t="shared" si="28"/>
        <v>0</v>
      </c>
      <c r="K115" s="93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8"/>
      <c r="AC115" s="54">
        <f t="shared" si="27"/>
        <v>0</v>
      </c>
      <c r="AD115" s="1"/>
    </row>
    <row r="116" spans="1:30" ht="14" x14ac:dyDescent="0.3">
      <c r="A116" s="89"/>
      <c r="B116" s="79"/>
      <c r="C116" s="44"/>
      <c r="D116" s="188"/>
      <c r="E116" s="70"/>
      <c r="F116" s="70"/>
      <c r="G116" s="80"/>
      <c r="H116" s="193"/>
      <c r="I116" s="206"/>
      <c r="J116" s="74">
        <f t="shared" si="28"/>
        <v>0</v>
      </c>
      <c r="K116" s="93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8"/>
      <c r="AC116" s="54">
        <f t="shared" si="27"/>
        <v>0</v>
      </c>
      <c r="AD116" s="1"/>
    </row>
    <row r="117" spans="1:30" ht="14" x14ac:dyDescent="0.3">
      <c r="A117" s="89"/>
      <c r="B117" s="79"/>
      <c r="C117" s="44"/>
      <c r="D117" s="188"/>
      <c r="E117" s="70"/>
      <c r="F117" s="70"/>
      <c r="G117" s="80"/>
      <c r="H117" s="72"/>
      <c r="I117" s="206"/>
      <c r="J117" s="74">
        <f t="shared" si="28"/>
        <v>0</v>
      </c>
      <c r="K117" s="93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8"/>
      <c r="AC117" s="54"/>
      <c r="AD117" s="1"/>
    </row>
    <row r="118" spans="1:30" ht="14" x14ac:dyDescent="0.3">
      <c r="A118" s="89"/>
      <c r="B118" s="79"/>
      <c r="C118" s="44"/>
      <c r="D118" s="188"/>
      <c r="E118" s="212"/>
      <c r="F118" s="84"/>
      <c r="G118" s="79"/>
      <c r="H118" s="72"/>
      <c r="I118" s="148"/>
      <c r="J118" s="74">
        <f>+SUM(L118:AB118)+H118</f>
        <v>0</v>
      </c>
      <c r="K118" s="93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8"/>
      <c r="AC118" s="54">
        <f t="shared" si="27"/>
        <v>0</v>
      </c>
      <c r="AD118" s="1"/>
    </row>
    <row r="119" spans="1:30" ht="14.5" thickBot="1" x14ac:dyDescent="0.35">
      <c r="A119" s="109"/>
      <c r="B119" s="110"/>
      <c r="C119" s="111"/>
      <c r="D119" s="109"/>
      <c r="E119" s="109"/>
      <c r="F119" s="109" t="s">
        <v>171</v>
      </c>
      <c r="G119" s="109"/>
      <c r="H119" s="213">
        <f>+SUM(H82:H118)</f>
        <v>1147.9299999999998</v>
      </c>
      <c r="I119" s="113">
        <f>+SUM(I82:I118)</f>
        <v>15661.5</v>
      </c>
      <c r="J119" s="169">
        <f>+SUM(L119:AB119)+H119</f>
        <v>15661.5</v>
      </c>
      <c r="K119" s="214"/>
      <c r="L119" s="153">
        <f t="shared" ref="L119:AB119" si="29">+SUM(L82:L118)</f>
        <v>2251.4699999999998</v>
      </c>
      <c r="M119" s="153">
        <f t="shared" si="29"/>
        <v>734.13</v>
      </c>
      <c r="N119" s="153">
        <f t="shared" si="29"/>
        <v>1889.13</v>
      </c>
      <c r="O119" s="153">
        <f t="shared" si="29"/>
        <v>290.10000000000002</v>
      </c>
      <c r="P119" s="153">
        <f t="shared" si="29"/>
        <v>0</v>
      </c>
      <c r="Q119" s="153">
        <f t="shared" si="29"/>
        <v>2750</v>
      </c>
      <c r="R119" s="153">
        <f t="shared" si="29"/>
        <v>254.57</v>
      </c>
      <c r="S119" s="153">
        <f t="shared" si="29"/>
        <v>216.03</v>
      </c>
      <c r="T119" s="153">
        <f t="shared" si="29"/>
        <v>5930</v>
      </c>
      <c r="U119" s="153">
        <f t="shared" si="29"/>
        <v>198.14</v>
      </c>
      <c r="V119" s="153">
        <f t="shared" si="29"/>
        <v>0</v>
      </c>
      <c r="W119" s="153">
        <f t="shared" si="29"/>
        <v>0</v>
      </c>
      <c r="X119" s="153">
        <f t="shared" si="29"/>
        <v>0</v>
      </c>
      <c r="Y119" s="153">
        <f t="shared" si="29"/>
        <v>0</v>
      </c>
      <c r="Z119" s="153">
        <f t="shared" si="29"/>
        <v>0</v>
      </c>
      <c r="AA119" s="153">
        <f t="shared" si="29"/>
        <v>0</v>
      </c>
      <c r="AB119" s="153">
        <f t="shared" si="29"/>
        <v>0</v>
      </c>
      <c r="AC119" s="54">
        <f t="shared" si="27"/>
        <v>14513.57</v>
      </c>
      <c r="AD119" s="1"/>
    </row>
    <row r="120" spans="1:30" ht="14" x14ac:dyDescent="0.3">
      <c r="A120" s="215"/>
      <c r="B120" s="216"/>
      <c r="C120" s="217"/>
      <c r="D120" s="215"/>
      <c r="E120" s="215"/>
      <c r="F120" s="215"/>
      <c r="G120" s="215"/>
      <c r="H120" s="218"/>
      <c r="I120" s="147"/>
      <c r="J120" s="219"/>
      <c r="K120" s="220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221"/>
      <c r="Y120" s="221"/>
      <c r="Z120" s="221"/>
      <c r="AA120" s="221"/>
      <c r="AB120" s="222"/>
      <c r="AC120" s="54">
        <f t="shared" si="27"/>
        <v>0</v>
      </c>
      <c r="AD120" s="1"/>
    </row>
    <row r="121" spans="1:30" ht="14.5" thickBot="1" x14ac:dyDescent="0.35">
      <c r="A121" s="223"/>
      <c r="B121" s="224"/>
      <c r="C121" s="225"/>
      <c r="D121" s="223"/>
      <c r="E121" s="223"/>
      <c r="F121" s="223" t="s">
        <v>172</v>
      </c>
      <c r="G121" s="223"/>
      <c r="H121" s="226">
        <f>+H79+H119</f>
        <v>3060.7200000000003</v>
      </c>
      <c r="I121" s="227">
        <f>+I79+I119</f>
        <v>37970.94</v>
      </c>
      <c r="J121" s="228">
        <f>+SUM(L121:AB121)+H121</f>
        <v>37970.949999999997</v>
      </c>
      <c r="K121" s="229"/>
      <c r="L121" s="230">
        <f t="shared" ref="L121:AB121" si="30">+L79+L119</f>
        <v>6920.16</v>
      </c>
      <c r="M121" s="230">
        <f t="shared" si="30"/>
        <v>3064.5200000000004</v>
      </c>
      <c r="N121" s="230">
        <f t="shared" si="30"/>
        <v>8640.5499999999993</v>
      </c>
      <c r="O121" s="230">
        <f t="shared" si="30"/>
        <v>881.03000000000009</v>
      </c>
      <c r="P121" s="230">
        <f t="shared" si="30"/>
        <v>543.24</v>
      </c>
      <c r="Q121" s="230">
        <f t="shared" si="30"/>
        <v>3060</v>
      </c>
      <c r="R121" s="230">
        <f t="shared" si="30"/>
        <v>267.3</v>
      </c>
      <c r="S121" s="230">
        <f t="shared" si="30"/>
        <v>832.44999999999993</v>
      </c>
      <c r="T121" s="230">
        <f t="shared" si="30"/>
        <v>10502.84</v>
      </c>
      <c r="U121" s="230">
        <f t="shared" si="30"/>
        <v>198.14</v>
      </c>
      <c r="V121" s="230">
        <f t="shared" si="30"/>
        <v>0</v>
      </c>
      <c r="W121" s="230">
        <f t="shared" si="30"/>
        <v>0</v>
      </c>
      <c r="X121" s="230">
        <f t="shared" si="30"/>
        <v>0</v>
      </c>
      <c r="Y121" s="230">
        <f t="shared" si="30"/>
        <v>0</v>
      </c>
      <c r="Z121" s="230">
        <f t="shared" si="30"/>
        <v>0</v>
      </c>
      <c r="AA121" s="230">
        <f t="shared" si="30"/>
        <v>0</v>
      </c>
      <c r="AB121" s="231">
        <f t="shared" si="30"/>
        <v>0</v>
      </c>
      <c r="AC121" s="54">
        <f t="shared" si="27"/>
        <v>34910.229999999996</v>
      </c>
      <c r="AD121" s="1"/>
    </row>
    <row r="122" spans="1:30" ht="14.5" thickTop="1" x14ac:dyDescent="0.3">
      <c r="A122" s="114"/>
      <c r="B122" s="115"/>
      <c r="C122" s="116"/>
      <c r="D122" s="114"/>
      <c r="E122" s="114"/>
      <c r="F122" s="114"/>
      <c r="G122" s="114"/>
      <c r="H122" s="117"/>
      <c r="I122" s="118"/>
      <c r="J122" s="119"/>
      <c r="K122" s="120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54">
        <f t="shared" si="27"/>
        <v>0</v>
      </c>
      <c r="AD122" s="1"/>
    </row>
    <row r="123" spans="1:30" ht="14" x14ac:dyDescent="0.3">
      <c r="A123" s="21" t="s">
        <v>18</v>
      </c>
      <c r="B123" s="21" t="s">
        <v>19</v>
      </c>
      <c r="C123" s="22" t="s">
        <v>20</v>
      </c>
      <c r="D123" s="21" t="s">
        <v>21</v>
      </c>
      <c r="E123" s="21" t="s">
        <v>22</v>
      </c>
      <c r="F123" s="21" t="s">
        <v>23</v>
      </c>
      <c r="G123" s="21"/>
      <c r="H123" s="23" t="s">
        <v>4</v>
      </c>
      <c r="I123" s="24" t="s">
        <v>26</v>
      </c>
      <c r="J123" s="123" t="s">
        <v>27</v>
      </c>
      <c r="K123" s="124" t="s">
        <v>28</v>
      </c>
      <c r="L123" s="21" t="str">
        <f t="shared" ref="L123:AB123" si="31">L7</f>
        <v>STAFF COSTS</v>
      </c>
      <c r="M123" s="21" t="str">
        <f t="shared" si="31"/>
        <v>ADMINISTRATION COSTS</v>
      </c>
      <c r="N123" s="21" t="str">
        <f t="shared" si="31"/>
        <v>PARK &amp; OPEN SPACES</v>
      </c>
      <c r="O123" s="21" t="str">
        <f t="shared" si="31"/>
        <v>CHURCHYARD</v>
      </c>
      <c r="P123" s="21" t="str">
        <f t="shared" si="31"/>
        <v>SUBSCRIPTIONS</v>
      </c>
      <c r="Q123" s="21" t="str">
        <f t="shared" si="31"/>
        <v xml:space="preserve">GRANTS &amp; DONATIONS </v>
      </c>
      <c r="R123" s="21" t="str">
        <f t="shared" si="31"/>
        <v>OTHER</v>
      </c>
      <c r="S123" s="21" t="str">
        <f t="shared" si="31"/>
        <v>CONTINGENCY</v>
      </c>
      <c r="T123" s="21" t="str">
        <f t="shared" si="31"/>
        <v>EARMARKED RESERVE FUNDS</v>
      </c>
      <c r="U123" s="21" t="str">
        <f t="shared" si="31"/>
        <v xml:space="preserve">CAPITAL </v>
      </c>
      <c r="V123" s="21">
        <f t="shared" si="31"/>
        <v>0</v>
      </c>
      <c r="W123" s="21">
        <f t="shared" si="31"/>
        <v>0</v>
      </c>
      <c r="X123" s="21">
        <f t="shared" si="31"/>
        <v>0</v>
      </c>
      <c r="Y123" s="21" t="str">
        <f t="shared" si="31"/>
        <v>Cap Project</v>
      </c>
      <c r="Z123" s="21" t="str">
        <f t="shared" si="31"/>
        <v>Cap Project</v>
      </c>
      <c r="AA123" s="21" t="str">
        <f t="shared" si="31"/>
        <v>Cap Project</v>
      </c>
      <c r="AB123" s="125" t="str">
        <f t="shared" si="31"/>
        <v>Other</v>
      </c>
      <c r="AC123" s="54">
        <f t="shared" si="27"/>
        <v>0</v>
      </c>
      <c r="AD123" s="1"/>
    </row>
    <row r="124" spans="1:30" ht="14.5" thickBot="1" x14ac:dyDescent="0.35">
      <c r="A124" s="29"/>
      <c r="B124" s="29"/>
      <c r="C124" s="30"/>
      <c r="D124" s="29" t="s">
        <v>21</v>
      </c>
      <c r="E124" s="29"/>
      <c r="F124" s="29"/>
      <c r="G124" s="29"/>
      <c r="H124" s="31"/>
      <c r="I124" s="32"/>
      <c r="J124" s="33" t="s">
        <v>26</v>
      </c>
      <c r="K124" s="34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126"/>
      <c r="AC124" s="54">
        <f t="shared" si="27"/>
        <v>0</v>
      </c>
      <c r="AD124" s="1"/>
    </row>
    <row r="125" spans="1:30" ht="14" x14ac:dyDescent="0.3">
      <c r="A125" s="232"/>
      <c r="B125" s="233"/>
      <c r="C125" s="37"/>
      <c r="D125" s="232"/>
      <c r="E125" s="232"/>
      <c r="F125" s="232"/>
      <c r="G125" s="232"/>
      <c r="H125" s="38"/>
      <c r="I125" s="234"/>
      <c r="J125" s="235"/>
      <c r="K125" s="236"/>
      <c r="L125" s="36" t="s">
        <v>8</v>
      </c>
      <c r="M125" s="36" t="s">
        <v>9</v>
      </c>
      <c r="N125" s="36" t="s">
        <v>10</v>
      </c>
      <c r="O125" s="36" t="s">
        <v>11</v>
      </c>
      <c r="P125" s="36" t="s">
        <v>12</v>
      </c>
      <c r="Q125" s="36" t="s">
        <v>13</v>
      </c>
      <c r="R125" s="36" t="s">
        <v>14</v>
      </c>
      <c r="S125" s="36" t="s">
        <v>15</v>
      </c>
      <c r="T125" s="36" t="s">
        <v>16</v>
      </c>
      <c r="U125" s="36" t="s">
        <v>17</v>
      </c>
      <c r="V125" s="36" t="s">
        <v>36</v>
      </c>
      <c r="W125" s="36" t="s">
        <v>37</v>
      </c>
      <c r="X125" s="36" t="s">
        <v>38</v>
      </c>
      <c r="Y125" s="36" t="s">
        <v>39</v>
      </c>
      <c r="Z125" s="36" t="s">
        <v>40</v>
      </c>
      <c r="AA125" s="36" t="s">
        <v>41</v>
      </c>
      <c r="AB125" s="134" t="s">
        <v>42</v>
      </c>
      <c r="AC125" s="54">
        <f t="shared" si="27"/>
        <v>0</v>
      </c>
      <c r="AD125" s="1"/>
    </row>
    <row r="126" spans="1:30" ht="14" x14ac:dyDescent="0.3">
      <c r="A126" s="89">
        <v>44200</v>
      </c>
      <c r="B126" s="79">
        <v>762</v>
      </c>
      <c r="C126" s="44" t="s">
        <v>43</v>
      </c>
      <c r="D126" s="80" t="s">
        <v>173</v>
      </c>
      <c r="E126" s="45" t="s">
        <v>45</v>
      </c>
      <c r="F126" s="45" t="s">
        <v>46</v>
      </c>
      <c r="G126" s="43" t="s">
        <v>47</v>
      </c>
      <c r="H126" s="46"/>
      <c r="I126" s="237">
        <v>2239.89</v>
      </c>
      <c r="J126" s="83">
        <f t="shared" ref="J126:J129" si="32">+SUM(L126:AB126)+H126</f>
        <v>2239.89</v>
      </c>
      <c r="K126" s="71" t="s">
        <v>170</v>
      </c>
      <c r="L126" s="47">
        <v>2239.89</v>
      </c>
      <c r="M126" s="143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143"/>
      <c r="AA126" s="143"/>
      <c r="AB126" s="238"/>
      <c r="AC126" s="54">
        <f t="shared" si="27"/>
        <v>2239.89</v>
      </c>
      <c r="AD126" s="239"/>
    </row>
    <row r="127" spans="1:30" ht="14" x14ac:dyDescent="0.3">
      <c r="A127" s="89">
        <v>44200</v>
      </c>
      <c r="B127" s="79">
        <v>762</v>
      </c>
      <c r="C127" s="44" t="s">
        <v>49</v>
      </c>
      <c r="D127" s="80" t="s">
        <v>173</v>
      </c>
      <c r="E127" s="45" t="s">
        <v>45</v>
      </c>
      <c r="F127" s="45" t="s">
        <v>50</v>
      </c>
      <c r="G127" s="43" t="s">
        <v>51</v>
      </c>
      <c r="H127" s="46">
        <f>2+0.76</f>
        <v>2.76</v>
      </c>
      <c r="I127" s="237">
        <v>16.579999999999998</v>
      </c>
      <c r="J127" s="83">
        <f t="shared" si="32"/>
        <v>16.579999999999998</v>
      </c>
      <c r="K127" s="49" t="s">
        <v>170</v>
      </c>
      <c r="L127" s="50"/>
      <c r="M127" s="51">
        <f>10+3.82</f>
        <v>13.82</v>
      </c>
      <c r="N127" s="51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143"/>
      <c r="AA127" s="143"/>
      <c r="AB127" s="238"/>
      <c r="AC127" s="54">
        <f t="shared" si="27"/>
        <v>13.82</v>
      </c>
      <c r="AD127" s="239"/>
    </row>
    <row r="128" spans="1:30" ht="14" x14ac:dyDescent="0.3">
      <c r="A128" s="89">
        <v>44200</v>
      </c>
      <c r="B128" s="79">
        <v>762</v>
      </c>
      <c r="C128" s="44" t="s">
        <v>49</v>
      </c>
      <c r="D128" s="80" t="s">
        <v>173</v>
      </c>
      <c r="E128" s="45" t="s">
        <v>45</v>
      </c>
      <c r="F128" s="45" t="s">
        <v>52</v>
      </c>
      <c r="G128" s="61" t="s">
        <v>53</v>
      </c>
      <c r="H128" s="46"/>
      <c r="I128" s="237">
        <v>51.2</v>
      </c>
      <c r="J128" s="83">
        <f t="shared" si="32"/>
        <v>51.2</v>
      </c>
      <c r="K128" s="49" t="s">
        <v>170</v>
      </c>
      <c r="L128" s="51"/>
      <c r="M128" s="51">
        <v>51.2</v>
      </c>
      <c r="N128" s="51"/>
      <c r="O128" s="240"/>
      <c r="P128" s="240"/>
      <c r="Q128" s="240"/>
      <c r="R128" s="240"/>
      <c r="S128" s="76"/>
      <c r="T128" s="76"/>
      <c r="U128" s="76"/>
      <c r="V128" s="76"/>
      <c r="W128" s="76"/>
      <c r="X128" s="76"/>
      <c r="Y128" s="76"/>
      <c r="Z128" s="143"/>
      <c r="AA128" s="143"/>
      <c r="AB128" s="238"/>
      <c r="AC128" s="54">
        <f t="shared" si="27"/>
        <v>51.2</v>
      </c>
      <c r="AD128" s="239"/>
    </row>
    <row r="129" spans="1:30" ht="14.5" thickBot="1" x14ac:dyDescent="0.35">
      <c r="A129" s="89">
        <v>44200</v>
      </c>
      <c r="B129" s="79">
        <v>762</v>
      </c>
      <c r="C129" s="44" t="s">
        <v>49</v>
      </c>
      <c r="D129" s="80" t="s">
        <v>173</v>
      </c>
      <c r="E129" s="45" t="s">
        <v>45</v>
      </c>
      <c r="F129" s="45" t="s">
        <v>115</v>
      </c>
      <c r="G129" s="61" t="s">
        <v>74</v>
      </c>
      <c r="H129" s="46">
        <v>7.2</v>
      </c>
      <c r="I129" s="237">
        <v>43.17</v>
      </c>
      <c r="J129" s="83">
        <f t="shared" si="32"/>
        <v>43.17</v>
      </c>
      <c r="K129" s="49" t="s">
        <v>170</v>
      </c>
      <c r="L129" s="51"/>
      <c r="M129" s="51">
        <v>35.97</v>
      </c>
      <c r="N129" s="51"/>
      <c r="O129" s="240"/>
      <c r="P129" s="240"/>
      <c r="Q129" s="240"/>
      <c r="R129" s="240"/>
      <c r="S129" s="76"/>
      <c r="T129" s="76"/>
      <c r="U129" s="76"/>
      <c r="V129" s="76"/>
      <c r="W129" s="76"/>
      <c r="X129" s="76"/>
      <c r="Y129" s="76"/>
      <c r="Z129" s="143"/>
      <c r="AA129" s="143"/>
      <c r="AB129" s="238"/>
      <c r="AC129" s="54">
        <f t="shared" si="27"/>
        <v>35.97</v>
      </c>
      <c r="AD129" s="239"/>
    </row>
    <row r="130" spans="1:30" ht="14.5" thickTop="1" x14ac:dyDescent="0.3">
      <c r="A130" s="89">
        <v>44200</v>
      </c>
      <c r="B130" s="79">
        <v>762</v>
      </c>
      <c r="C130" s="44" t="s">
        <v>49</v>
      </c>
      <c r="D130" s="80" t="s">
        <v>173</v>
      </c>
      <c r="E130" s="45" t="s">
        <v>45</v>
      </c>
      <c r="F130" s="65" t="s">
        <v>174</v>
      </c>
      <c r="G130" s="43" t="s">
        <v>130</v>
      </c>
      <c r="H130" s="72"/>
      <c r="I130" s="206">
        <v>58</v>
      </c>
      <c r="J130" s="83">
        <v>58</v>
      </c>
      <c r="K130" s="49" t="s">
        <v>170</v>
      </c>
      <c r="L130" s="51"/>
      <c r="M130" s="51"/>
      <c r="N130" s="51"/>
      <c r="O130" s="240"/>
      <c r="P130" s="240"/>
      <c r="Q130" s="240"/>
      <c r="R130" s="241"/>
      <c r="S130" s="242"/>
      <c r="T130" s="76">
        <v>58</v>
      </c>
      <c r="U130" s="76"/>
      <c r="V130" s="76"/>
      <c r="W130" s="76"/>
      <c r="X130" s="76"/>
      <c r="Y130" s="76"/>
      <c r="Z130" s="143"/>
      <c r="AA130" s="143"/>
      <c r="AB130" s="238"/>
      <c r="AC130" s="54">
        <f t="shared" si="27"/>
        <v>58</v>
      </c>
      <c r="AD130" s="239"/>
    </row>
    <row r="131" spans="1:30" ht="14" x14ac:dyDescent="0.3">
      <c r="A131" s="89">
        <v>44200</v>
      </c>
      <c r="B131" s="79">
        <v>762</v>
      </c>
      <c r="C131" s="44" t="s">
        <v>49</v>
      </c>
      <c r="D131" s="80" t="s">
        <v>173</v>
      </c>
      <c r="E131" s="45" t="s">
        <v>45</v>
      </c>
      <c r="F131" s="70" t="s">
        <v>175</v>
      </c>
      <c r="G131" s="138" t="s">
        <v>77</v>
      </c>
      <c r="H131" s="72"/>
      <c r="I131" s="206">
        <v>9.36</v>
      </c>
      <c r="J131" s="83">
        <f t="shared" ref="J131:J141" si="33">+SUM(L131:AB131)+H131</f>
        <v>9.36</v>
      </c>
      <c r="K131" s="243" t="s">
        <v>170</v>
      </c>
      <c r="L131" s="240"/>
      <c r="M131" s="240"/>
      <c r="N131" s="240">
        <v>9.36</v>
      </c>
      <c r="O131" s="240"/>
      <c r="P131" s="240"/>
      <c r="Q131" s="240"/>
      <c r="R131" s="240"/>
      <c r="S131" s="76"/>
      <c r="T131" s="143"/>
      <c r="U131" s="143"/>
      <c r="V131" s="143"/>
      <c r="W131" s="143"/>
      <c r="X131" s="143"/>
      <c r="Y131" s="143"/>
      <c r="Z131" s="143"/>
      <c r="AA131" s="143"/>
      <c r="AB131" s="238"/>
      <c r="AC131" s="54">
        <f t="shared" si="27"/>
        <v>9.36</v>
      </c>
      <c r="AD131" s="239"/>
    </row>
    <row r="132" spans="1:30" ht="14" x14ac:dyDescent="0.3">
      <c r="A132" s="89">
        <v>44200</v>
      </c>
      <c r="B132" s="79">
        <v>762</v>
      </c>
      <c r="C132" s="44" t="s">
        <v>49</v>
      </c>
      <c r="D132" s="80" t="s">
        <v>173</v>
      </c>
      <c r="E132" s="45" t="s">
        <v>45</v>
      </c>
      <c r="F132" s="70" t="s">
        <v>176</v>
      </c>
      <c r="G132" s="138" t="s">
        <v>55</v>
      </c>
      <c r="H132" s="72">
        <f>0.99+1.04</f>
        <v>2.0300000000000002</v>
      </c>
      <c r="I132" s="206">
        <f>5.96+6.25</f>
        <v>12.21</v>
      </c>
      <c r="J132" s="83">
        <f t="shared" si="33"/>
        <v>12.21</v>
      </c>
      <c r="K132" s="244" t="s">
        <v>170</v>
      </c>
      <c r="L132" s="88"/>
      <c r="M132" s="240">
        <f>4.97+5.21</f>
        <v>10.18</v>
      </c>
      <c r="N132" s="240"/>
      <c r="O132" s="240"/>
      <c r="P132" s="240"/>
      <c r="Q132" s="240"/>
      <c r="R132" s="241"/>
      <c r="S132" s="242"/>
      <c r="T132" s="143"/>
      <c r="U132" s="143"/>
      <c r="V132" s="143"/>
      <c r="W132" s="143"/>
      <c r="X132" s="143"/>
      <c r="Y132" s="143"/>
      <c r="Z132" s="143"/>
      <c r="AA132" s="143"/>
      <c r="AB132" s="238"/>
      <c r="AC132" s="54">
        <f t="shared" si="27"/>
        <v>10.18</v>
      </c>
      <c r="AD132" s="239"/>
    </row>
    <row r="133" spans="1:30" ht="14" x14ac:dyDescent="0.3">
      <c r="A133" s="89">
        <v>44200</v>
      </c>
      <c r="B133" s="79">
        <v>762</v>
      </c>
      <c r="C133" s="44" t="s">
        <v>49</v>
      </c>
      <c r="D133" s="80" t="s">
        <v>173</v>
      </c>
      <c r="E133" s="45" t="s">
        <v>45</v>
      </c>
      <c r="F133" s="70" t="s">
        <v>149</v>
      </c>
      <c r="G133" s="138" t="s">
        <v>117</v>
      </c>
      <c r="H133" s="72"/>
      <c r="I133" s="206">
        <f>4.56+7.8+6.7</f>
        <v>19.059999999999999</v>
      </c>
      <c r="J133" s="83">
        <f t="shared" si="33"/>
        <v>19.059999999999999</v>
      </c>
      <c r="K133" s="244" t="s">
        <v>170</v>
      </c>
      <c r="L133" s="88"/>
      <c r="M133" s="88">
        <v>19.059999999999999</v>
      </c>
      <c r="N133" s="240"/>
      <c r="O133" s="240"/>
      <c r="P133" s="240"/>
      <c r="Q133" s="240"/>
      <c r="R133" s="241"/>
      <c r="S133" s="242"/>
      <c r="T133" s="76"/>
      <c r="U133" s="76"/>
      <c r="V133" s="76"/>
      <c r="W133" s="76"/>
      <c r="X133" s="76"/>
      <c r="Y133" s="76"/>
      <c r="Z133" s="143"/>
      <c r="AA133" s="143"/>
      <c r="AB133" s="238"/>
      <c r="AC133" s="54">
        <f t="shared" si="27"/>
        <v>19.059999999999999</v>
      </c>
      <c r="AD133" s="239"/>
    </row>
    <row r="134" spans="1:30" ht="14" x14ac:dyDescent="0.3">
      <c r="A134" s="89">
        <v>44200</v>
      </c>
      <c r="B134" s="79">
        <v>763</v>
      </c>
      <c r="C134" s="44" t="s">
        <v>43</v>
      </c>
      <c r="D134" s="80" t="s">
        <v>173</v>
      </c>
      <c r="E134" s="70" t="s">
        <v>58</v>
      </c>
      <c r="F134" s="70" t="s">
        <v>59</v>
      </c>
      <c r="G134" s="82" t="s">
        <v>60</v>
      </c>
      <c r="H134" s="72"/>
      <c r="I134" s="86">
        <v>5.79</v>
      </c>
      <c r="J134" s="83">
        <v>5.79</v>
      </c>
      <c r="K134" s="244" t="s">
        <v>170</v>
      </c>
      <c r="L134" s="240">
        <v>5.79</v>
      </c>
      <c r="M134" s="240"/>
      <c r="N134" s="240"/>
      <c r="O134" s="240"/>
      <c r="P134" s="240"/>
      <c r="Q134" s="88"/>
      <c r="R134" s="88"/>
      <c r="S134" s="143"/>
      <c r="T134" s="143"/>
      <c r="U134" s="143"/>
      <c r="V134" s="143"/>
      <c r="W134" s="143"/>
      <c r="X134" s="143"/>
      <c r="Y134" s="143"/>
      <c r="Z134" s="143"/>
      <c r="AA134" s="143"/>
      <c r="AB134" s="238"/>
      <c r="AC134" s="54">
        <f t="shared" si="27"/>
        <v>5.79</v>
      </c>
      <c r="AD134" s="239"/>
    </row>
    <row r="135" spans="1:30" ht="14" x14ac:dyDescent="0.3">
      <c r="A135" s="89">
        <v>44200</v>
      </c>
      <c r="B135" s="79">
        <v>764</v>
      </c>
      <c r="C135" s="44" t="s">
        <v>43</v>
      </c>
      <c r="D135" s="80" t="s">
        <v>173</v>
      </c>
      <c r="E135" s="70" t="s">
        <v>75</v>
      </c>
      <c r="F135" s="70" t="s">
        <v>177</v>
      </c>
      <c r="G135" s="80" t="s">
        <v>178</v>
      </c>
      <c r="H135" s="72">
        <v>465</v>
      </c>
      <c r="I135" s="206">
        <v>2790</v>
      </c>
      <c r="J135" s="83">
        <f t="shared" si="33"/>
        <v>2790</v>
      </c>
      <c r="K135" s="87" t="s">
        <v>170</v>
      </c>
      <c r="L135" s="88"/>
      <c r="M135" s="88"/>
      <c r="N135" s="88"/>
      <c r="O135" s="88"/>
      <c r="P135" s="88"/>
      <c r="Q135" s="88"/>
      <c r="R135" s="88">
        <v>2325</v>
      </c>
      <c r="S135" s="143"/>
      <c r="T135" s="143"/>
      <c r="U135" s="143"/>
      <c r="V135" s="143"/>
      <c r="W135" s="143"/>
      <c r="X135" s="143"/>
      <c r="Y135" s="143"/>
      <c r="Z135" s="143"/>
      <c r="AA135" s="143"/>
      <c r="AB135" s="238"/>
      <c r="AC135" s="54">
        <f t="shared" si="27"/>
        <v>2325</v>
      </c>
      <c r="AD135" s="239"/>
    </row>
    <row r="136" spans="1:30" ht="14" x14ac:dyDescent="0.3">
      <c r="A136" s="89">
        <v>44200</v>
      </c>
      <c r="B136" s="79">
        <v>765</v>
      </c>
      <c r="C136" s="44" t="s">
        <v>43</v>
      </c>
      <c r="D136" s="80" t="s">
        <v>173</v>
      </c>
      <c r="E136" s="84" t="s">
        <v>92</v>
      </c>
      <c r="F136" s="84" t="s">
        <v>93</v>
      </c>
      <c r="G136" s="79" t="s">
        <v>91</v>
      </c>
      <c r="H136" s="245">
        <v>16.47</v>
      </c>
      <c r="I136" s="206">
        <v>98.82</v>
      </c>
      <c r="J136" s="83">
        <f t="shared" si="33"/>
        <v>98.82</v>
      </c>
      <c r="K136" s="244" t="s">
        <v>170</v>
      </c>
      <c r="L136" s="88"/>
      <c r="M136" s="88"/>
      <c r="N136" s="88"/>
      <c r="O136" s="88">
        <v>82.35</v>
      </c>
      <c r="P136" s="88"/>
      <c r="Q136" s="88"/>
      <c r="R136" s="88"/>
      <c r="S136" s="143"/>
      <c r="T136" s="143"/>
      <c r="U136" s="143"/>
      <c r="V136" s="143"/>
      <c r="W136" s="143"/>
      <c r="X136" s="143"/>
      <c r="Y136" s="143"/>
      <c r="Z136" s="143"/>
      <c r="AA136" s="143"/>
      <c r="AB136" s="238"/>
      <c r="AC136" s="54">
        <f t="shared" si="27"/>
        <v>82.35</v>
      </c>
      <c r="AD136" s="239"/>
    </row>
    <row r="137" spans="1:30" ht="14" x14ac:dyDescent="0.3">
      <c r="A137" s="246">
        <v>44200</v>
      </c>
      <c r="B137" s="79">
        <v>766</v>
      </c>
      <c r="C137" s="44" t="s">
        <v>167</v>
      </c>
      <c r="D137" s="80" t="s">
        <v>173</v>
      </c>
      <c r="E137" s="84" t="s">
        <v>102</v>
      </c>
      <c r="F137" s="84" t="s">
        <v>179</v>
      </c>
      <c r="G137" s="85" t="s">
        <v>180</v>
      </c>
      <c r="H137" s="72"/>
      <c r="I137" s="86">
        <v>75</v>
      </c>
      <c r="J137" s="83">
        <f t="shared" si="33"/>
        <v>75</v>
      </c>
      <c r="K137" s="87" t="s">
        <v>170</v>
      </c>
      <c r="L137" s="88"/>
      <c r="M137" s="88">
        <v>75</v>
      </c>
      <c r="N137" s="88"/>
      <c r="O137" s="88"/>
      <c r="P137" s="88"/>
      <c r="Q137" s="88"/>
      <c r="R137" s="88"/>
      <c r="S137" s="143"/>
      <c r="T137" s="143"/>
      <c r="U137" s="143"/>
      <c r="V137" s="143"/>
      <c r="W137" s="143"/>
      <c r="X137" s="143"/>
      <c r="Y137" s="143"/>
      <c r="Z137" s="143"/>
      <c r="AA137" s="143"/>
      <c r="AB137" s="238"/>
      <c r="AC137" s="54">
        <f t="shared" si="27"/>
        <v>75</v>
      </c>
      <c r="AD137" s="239"/>
    </row>
    <row r="138" spans="1:30" ht="14" x14ac:dyDescent="0.3">
      <c r="A138" s="89">
        <v>44200</v>
      </c>
      <c r="B138" s="79">
        <v>767</v>
      </c>
      <c r="C138" s="44" t="s">
        <v>43</v>
      </c>
      <c r="D138" s="80" t="s">
        <v>173</v>
      </c>
      <c r="E138" s="70" t="s">
        <v>181</v>
      </c>
      <c r="F138" s="70" t="s">
        <v>182</v>
      </c>
      <c r="G138" s="204" t="s">
        <v>183</v>
      </c>
      <c r="H138" s="141">
        <v>60</v>
      </c>
      <c r="I138" s="247">
        <v>360</v>
      </c>
      <c r="J138" s="83">
        <f t="shared" si="33"/>
        <v>360</v>
      </c>
      <c r="K138" s="243" t="s">
        <v>170</v>
      </c>
      <c r="L138" s="240"/>
      <c r="M138" s="240">
        <v>300</v>
      </c>
      <c r="N138" s="142"/>
      <c r="O138" s="88"/>
      <c r="P138" s="88"/>
      <c r="Q138" s="88"/>
      <c r="R138" s="88"/>
      <c r="S138" s="143"/>
      <c r="T138" s="143"/>
      <c r="U138" s="143"/>
      <c r="V138" s="196"/>
      <c r="W138" s="143"/>
      <c r="X138" s="143"/>
      <c r="Y138" s="143"/>
      <c r="Z138" s="143"/>
      <c r="AA138" s="143"/>
      <c r="AB138" s="238"/>
      <c r="AC138" s="54">
        <f t="shared" ref="AC138:AC158" si="34">SUM(L138:AB138)</f>
        <v>300</v>
      </c>
      <c r="AD138" s="239"/>
    </row>
    <row r="139" spans="1:30" ht="14" x14ac:dyDescent="0.3">
      <c r="A139" s="89">
        <v>44200</v>
      </c>
      <c r="B139" s="79">
        <v>768</v>
      </c>
      <c r="C139" s="44" t="s">
        <v>167</v>
      </c>
      <c r="D139" s="80" t="s">
        <v>173</v>
      </c>
      <c r="E139" s="84" t="s">
        <v>184</v>
      </c>
      <c r="F139" s="144" t="s">
        <v>185</v>
      </c>
      <c r="G139" s="204" t="s">
        <v>110</v>
      </c>
      <c r="H139" s="141">
        <v>15.5</v>
      </c>
      <c r="I139" s="247">
        <v>93</v>
      </c>
      <c r="J139" s="83">
        <f t="shared" si="33"/>
        <v>93</v>
      </c>
      <c r="K139" s="243" t="s">
        <v>170</v>
      </c>
      <c r="L139" s="240"/>
      <c r="M139" s="240"/>
      <c r="N139" s="240">
        <v>77.5</v>
      </c>
      <c r="O139" s="248"/>
      <c r="P139" s="88"/>
      <c r="Q139" s="88"/>
      <c r="R139" s="88"/>
      <c r="S139" s="143"/>
      <c r="T139" s="143"/>
      <c r="U139" s="143"/>
      <c r="V139" s="143"/>
      <c r="W139" s="143"/>
      <c r="X139" s="143"/>
      <c r="Y139" s="143"/>
      <c r="Z139" s="143"/>
      <c r="AA139" s="143"/>
      <c r="AB139" s="238"/>
      <c r="AC139" s="54">
        <f t="shared" si="34"/>
        <v>77.5</v>
      </c>
      <c r="AD139" s="239"/>
    </row>
    <row r="140" spans="1:30" ht="14" x14ac:dyDescent="0.3">
      <c r="A140" s="89">
        <v>44200</v>
      </c>
      <c r="B140" s="79">
        <v>769</v>
      </c>
      <c r="C140" s="44" t="s">
        <v>167</v>
      </c>
      <c r="D140" s="80" t="s">
        <v>173</v>
      </c>
      <c r="E140" s="84" t="s">
        <v>186</v>
      </c>
      <c r="F140" s="84" t="s">
        <v>187</v>
      </c>
      <c r="G140" s="207" t="s">
        <v>188</v>
      </c>
      <c r="H140" s="72"/>
      <c r="I140" s="86">
        <v>10.5</v>
      </c>
      <c r="J140" s="83">
        <f t="shared" si="33"/>
        <v>10.5</v>
      </c>
      <c r="K140" s="244" t="s">
        <v>170</v>
      </c>
      <c r="L140" s="88"/>
      <c r="M140" s="88">
        <v>10.5</v>
      </c>
      <c r="N140" s="88"/>
      <c r="O140" s="88"/>
      <c r="P140" s="88"/>
      <c r="Q140" s="88"/>
      <c r="R140" s="88"/>
      <c r="S140" s="143"/>
      <c r="T140" s="143"/>
      <c r="U140" s="143"/>
      <c r="V140" s="143"/>
      <c r="W140" s="143"/>
      <c r="X140" s="143"/>
      <c r="Y140" s="143"/>
      <c r="Z140" s="143"/>
      <c r="AA140" s="143"/>
      <c r="AB140" s="238"/>
      <c r="AC140" s="54">
        <f t="shared" si="34"/>
        <v>10.5</v>
      </c>
      <c r="AD140" s="239"/>
    </row>
    <row r="141" spans="1:30" ht="14" x14ac:dyDescent="0.3">
      <c r="A141" s="200">
        <v>44208</v>
      </c>
      <c r="B141" s="79" t="s">
        <v>78</v>
      </c>
      <c r="C141" s="44" t="s">
        <v>43</v>
      </c>
      <c r="D141" s="80" t="s">
        <v>173</v>
      </c>
      <c r="E141" s="84" t="s">
        <v>79</v>
      </c>
      <c r="F141" s="84" t="s">
        <v>80</v>
      </c>
      <c r="G141" s="85" t="s">
        <v>81</v>
      </c>
      <c r="H141" s="72">
        <v>2.09</v>
      </c>
      <c r="I141" s="86">
        <v>12.56</v>
      </c>
      <c r="J141" s="83">
        <f t="shared" si="33"/>
        <v>12.56</v>
      </c>
      <c r="K141" s="87" t="s">
        <v>48</v>
      </c>
      <c r="L141" s="76"/>
      <c r="M141" s="76">
        <v>10.47</v>
      </c>
      <c r="N141" s="76"/>
      <c r="O141" s="196"/>
      <c r="P141" s="195"/>
      <c r="Q141" s="196"/>
      <c r="R141" s="196"/>
      <c r="S141" s="196"/>
      <c r="T141" s="196"/>
      <c r="U141" s="196"/>
      <c r="V141" s="196"/>
      <c r="W141" s="196"/>
      <c r="X141" s="196"/>
      <c r="Y141" s="196"/>
      <c r="Z141" s="196"/>
      <c r="AA141" s="196"/>
      <c r="AB141" s="197"/>
      <c r="AC141" s="54">
        <f t="shared" si="34"/>
        <v>10.47</v>
      </c>
      <c r="AD141" s="239"/>
    </row>
    <row r="142" spans="1:30" ht="14" x14ac:dyDescent="0.3">
      <c r="A142" s="89">
        <v>44228</v>
      </c>
      <c r="B142" s="79">
        <v>770</v>
      </c>
      <c r="C142" s="44" t="s">
        <v>43</v>
      </c>
      <c r="D142" s="80" t="s">
        <v>173</v>
      </c>
      <c r="E142" s="84" t="s">
        <v>67</v>
      </c>
      <c r="F142" s="70" t="s">
        <v>68</v>
      </c>
      <c r="G142" s="49" t="s">
        <v>69</v>
      </c>
      <c r="H142" s="249">
        <v>35.33</v>
      </c>
      <c r="I142" s="67">
        <v>212</v>
      </c>
      <c r="J142" s="135">
        <f t="shared" ref="J142" si="35">+SUM(L142:AB142)+H142</f>
        <v>212</v>
      </c>
      <c r="K142" s="69" t="s">
        <v>170</v>
      </c>
      <c r="L142" s="62"/>
      <c r="M142" s="62"/>
      <c r="N142" s="62">
        <v>176.67</v>
      </c>
      <c r="O142" s="76"/>
      <c r="P142" s="88"/>
      <c r="Q142" s="88"/>
      <c r="R142" s="88"/>
      <c r="S142" s="143"/>
      <c r="T142" s="143"/>
      <c r="U142" s="143"/>
      <c r="V142" s="143"/>
      <c r="W142" s="143"/>
      <c r="X142" s="143"/>
      <c r="Y142" s="143"/>
      <c r="Z142" s="143"/>
      <c r="AA142" s="143"/>
      <c r="AB142" s="238"/>
      <c r="AC142" s="54">
        <f t="shared" si="34"/>
        <v>176.67</v>
      </c>
      <c r="AD142" s="239"/>
    </row>
    <row r="143" spans="1:30" ht="14" x14ac:dyDescent="0.3">
      <c r="A143" s="89">
        <v>44228</v>
      </c>
      <c r="B143" s="79">
        <v>771</v>
      </c>
      <c r="C143" s="44" t="s">
        <v>167</v>
      </c>
      <c r="D143" s="80" t="s">
        <v>173</v>
      </c>
      <c r="E143" s="84" t="s">
        <v>189</v>
      </c>
      <c r="F143" s="84" t="s">
        <v>190</v>
      </c>
      <c r="G143" s="79" t="s">
        <v>57</v>
      </c>
      <c r="H143" s="72">
        <v>20</v>
      </c>
      <c r="I143" s="206">
        <v>120</v>
      </c>
      <c r="J143" s="83">
        <f t="shared" ref="J143:J157" si="36">+SUM(L143:AB143)+H143</f>
        <v>120</v>
      </c>
      <c r="K143" s="244" t="s">
        <v>170</v>
      </c>
      <c r="L143" s="88"/>
      <c r="M143" s="88"/>
      <c r="N143" s="88"/>
      <c r="O143" s="88"/>
      <c r="P143" s="88"/>
      <c r="Q143" s="88"/>
      <c r="R143" s="88"/>
      <c r="S143" s="143">
        <v>100</v>
      </c>
      <c r="T143" s="143"/>
      <c r="U143" s="143"/>
      <c r="V143" s="143"/>
      <c r="W143" s="143"/>
      <c r="X143" s="143"/>
      <c r="Y143" s="143"/>
      <c r="Z143" s="143"/>
      <c r="AA143" s="143"/>
      <c r="AB143" s="238"/>
      <c r="AC143" s="54">
        <f t="shared" si="34"/>
        <v>100</v>
      </c>
      <c r="AD143" s="239"/>
    </row>
    <row r="144" spans="1:30" ht="14" x14ac:dyDescent="0.3">
      <c r="A144" s="89">
        <v>44228</v>
      </c>
      <c r="B144" s="79">
        <v>772</v>
      </c>
      <c r="C144" s="44" t="s">
        <v>43</v>
      </c>
      <c r="D144" s="80" t="s">
        <v>173</v>
      </c>
      <c r="E144" s="84" t="s">
        <v>92</v>
      </c>
      <c r="F144" s="84" t="s">
        <v>93</v>
      </c>
      <c r="G144" s="79" t="s">
        <v>91</v>
      </c>
      <c r="H144" s="245">
        <v>15.32</v>
      </c>
      <c r="I144" s="206">
        <v>91.92</v>
      </c>
      <c r="J144" s="83">
        <f t="shared" si="36"/>
        <v>91.919999999999987</v>
      </c>
      <c r="K144" s="244" t="s">
        <v>170</v>
      </c>
      <c r="L144" s="88"/>
      <c r="M144" s="88"/>
      <c r="N144" s="88"/>
      <c r="O144" s="88">
        <v>76.599999999999994</v>
      </c>
      <c r="P144" s="88"/>
      <c r="Q144" s="88"/>
      <c r="R144" s="88"/>
      <c r="S144" s="143"/>
      <c r="T144" s="143"/>
      <c r="U144" s="143"/>
      <c r="V144" s="143"/>
      <c r="W144" s="143"/>
      <c r="X144" s="143"/>
      <c r="Y144" s="143"/>
      <c r="Z144" s="143"/>
      <c r="AA144" s="143"/>
      <c r="AB144" s="238"/>
      <c r="AC144" s="54">
        <f t="shared" si="34"/>
        <v>76.599999999999994</v>
      </c>
      <c r="AD144" s="239"/>
    </row>
    <row r="145" spans="1:30" ht="14" x14ac:dyDescent="0.3">
      <c r="A145" s="89">
        <v>43891</v>
      </c>
      <c r="B145" s="79">
        <v>773</v>
      </c>
      <c r="C145" s="44" t="s">
        <v>43</v>
      </c>
      <c r="D145" s="80" t="s">
        <v>173</v>
      </c>
      <c r="E145" s="250" t="s">
        <v>67</v>
      </c>
      <c r="F145" s="250" t="s">
        <v>68</v>
      </c>
      <c r="G145" s="251" t="s">
        <v>69</v>
      </c>
      <c r="H145" s="249">
        <v>70.66</v>
      </c>
      <c r="I145" s="210">
        <v>424</v>
      </c>
      <c r="J145" s="135">
        <f t="shared" si="36"/>
        <v>424</v>
      </c>
      <c r="K145" s="252" t="s">
        <v>170</v>
      </c>
      <c r="L145" s="253"/>
      <c r="M145" s="253"/>
      <c r="N145" s="253">
        <v>353.34</v>
      </c>
      <c r="O145" s="240"/>
      <c r="P145" s="254"/>
      <c r="Q145" s="88"/>
      <c r="R145" s="88"/>
      <c r="S145" s="143"/>
      <c r="T145" s="143"/>
      <c r="U145" s="143"/>
      <c r="V145" s="143"/>
      <c r="W145" s="143"/>
      <c r="X145" s="143"/>
      <c r="Y145" s="143"/>
      <c r="Z145" s="143"/>
      <c r="AA145" s="143"/>
      <c r="AB145" s="238"/>
      <c r="AC145" s="54">
        <f t="shared" si="34"/>
        <v>353.34</v>
      </c>
      <c r="AD145" s="239"/>
    </row>
    <row r="146" spans="1:30" ht="14" x14ac:dyDescent="0.3">
      <c r="A146" s="89">
        <v>43891</v>
      </c>
      <c r="B146" s="79">
        <v>773</v>
      </c>
      <c r="C146" s="44" t="s">
        <v>43</v>
      </c>
      <c r="D146" s="80" t="s">
        <v>173</v>
      </c>
      <c r="E146" s="70" t="s">
        <v>67</v>
      </c>
      <c r="F146" s="70" t="s">
        <v>122</v>
      </c>
      <c r="G146" s="71" t="s">
        <v>71</v>
      </c>
      <c r="H146" s="255">
        <v>10</v>
      </c>
      <c r="I146" s="73">
        <v>60</v>
      </c>
      <c r="J146" s="83">
        <f>+SUM(L146:AB146)+H146</f>
        <v>60</v>
      </c>
      <c r="K146" s="93" t="s">
        <v>170</v>
      </c>
      <c r="L146" s="76"/>
      <c r="M146" s="76"/>
      <c r="N146" s="76">
        <v>50</v>
      </c>
      <c r="O146" s="240"/>
      <c r="P146" s="142"/>
      <c r="Q146" s="88"/>
      <c r="R146" s="88"/>
      <c r="S146" s="143"/>
      <c r="T146" s="143"/>
      <c r="U146" s="143"/>
      <c r="V146" s="143"/>
      <c r="W146" s="143"/>
      <c r="X146" s="143"/>
      <c r="Y146" s="143"/>
      <c r="Z146" s="143"/>
      <c r="AA146" s="143"/>
      <c r="AB146" s="238"/>
      <c r="AC146" s="54">
        <f t="shared" si="34"/>
        <v>50</v>
      </c>
      <c r="AD146" s="239"/>
    </row>
    <row r="147" spans="1:30" ht="14" x14ac:dyDescent="0.3">
      <c r="A147" s="89">
        <v>43891</v>
      </c>
      <c r="B147" s="79">
        <v>773</v>
      </c>
      <c r="C147" s="44" t="s">
        <v>43</v>
      </c>
      <c r="D147" s="80" t="s">
        <v>173</v>
      </c>
      <c r="E147" s="70" t="s">
        <v>67</v>
      </c>
      <c r="F147" s="70" t="s">
        <v>111</v>
      </c>
      <c r="G147" s="81" t="s">
        <v>110</v>
      </c>
      <c r="H147" s="255">
        <v>9</v>
      </c>
      <c r="I147" s="73">
        <v>54</v>
      </c>
      <c r="J147" s="83">
        <f>+SUM(L147:AB147)+H147</f>
        <v>54</v>
      </c>
      <c r="K147" s="93" t="s">
        <v>170</v>
      </c>
      <c r="L147" s="76"/>
      <c r="M147" s="76"/>
      <c r="N147" s="76">
        <v>45</v>
      </c>
      <c r="O147" s="240"/>
      <c r="P147" s="142"/>
      <c r="Q147" s="88"/>
      <c r="R147" s="88"/>
      <c r="S147" s="143"/>
      <c r="T147" s="143"/>
      <c r="U147" s="143"/>
      <c r="V147" s="143"/>
      <c r="W147" s="143"/>
      <c r="X147" s="143"/>
      <c r="Y147" s="143"/>
      <c r="Z147" s="143"/>
      <c r="AA147" s="143"/>
      <c r="AB147" s="238"/>
      <c r="AC147" s="54">
        <f t="shared" si="34"/>
        <v>45</v>
      </c>
      <c r="AD147" s="239"/>
    </row>
    <row r="148" spans="1:30" ht="12" customHeight="1" x14ac:dyDescent="0.3">
      <c r="A148" s="89">
        <v>43891</v>
      </c>
      <c r="B148" s="79">
        <v>774</v>
      </c>
      <c r="C148" s="44" t="s">
        <v>167</v>
      </c>
      <c r="D148" s="80" t="s">
        <v>173</v>
      </c>
      <c r="E148" s="70" t="s">
        <v>102</v>
      </c>
      <c r="F148" s="70" t="s">
        <v>179</v>
      </c>
      <c r="G148" s="81" t="s">
        <v>180</v>
      </c>
      <c r="H148" s="72"/>
      <c r="I148" s="206">
        <v>60</v>
      </c>
      <c r="J148" s="83">
        <f t="shared" si="36"/>
        <v>60</v>
      </c>
      <c r="K148" s="243" t="s">
        <v>170</v>
      </c>
      <c r="L148" s="240"/>
      <c r="M148" s="240">
        <v>60</v>
      </c>
      <c r="N148" s="240"/>
      <c r="O148" s="240"/>
      <c r="P148" s="88"/>
      <c r="Q148" s="88"/>
      <c r="R148" s="88"/>
      <c r="S148" s="143"/>
      <c r="T148" s="143"/>
      <c r="U148" s="143"/>
      <c r="V148" s="143"/>
      <c r="W148" s="143"/>
      <c r="X148" s="143"/>
      <c r="Y148" s="143"/>
      <c r="Z148" s="143"/>
      <c r="AA148" s="143"/>
      <c r="AB148" s="238"/>
      <c r="AC148" s="54">
        <f t="shared" si="34"/>
        <v>60</v>
      </c>
      <c r="AD148" s="239"/>
    </row>
    <row r="149" spans="1:30" ht="14" x14ac:dyDescent="0.3">
      <c r="A149" s="89">
        <v>43891</v>
      </c>
      <c r="B149" s="256">
        <v>775</v>
      </c>
      <c r="C149" s="257" t="s">
        <v>43</v>
      </c>
      <c r="D149" s="258" t="s">
        <v>173</v>
      </c>
      <c r="E149" s="259" t="s">
        <v>92</v>
      </c>
      <c r="F149" s="259" t="s">
        <v>93</v>
      </c>
      <c r="G149" s="260" t="s">
        <v>91</v>
      </c>
      <c r="H149" s="245">
        <v>18.79</v>
      </c>
      <c r="I149" s="206">
        <v>112.74</v>
      </c>
      <c r="J149" s="83">
        <f t="shared" ref="J149" si="37">+SUM(L149:AB149)+H149</f>
        <v>112.74000000000001</v>
      </c>
      <c r="K149" s="244" t="s">
        <v>170</v>
      </c>
      <c r="L149" s="88"/>
      <c r="M149" s="88"/>
      <c r="N149" s="88"/>
      <c r="O149" s="88">
        <v>93.95</v>
      </c>
      <c r="P149" s="88"/>
      <c r="Q149" s="104"/>
      <c r="R149" s="104"/>
      <c r="S149" s="261"/>
      <c r="T149" s="261"/>
      <c r="U149" s="261"/>
      <c r="V149" s="261"/>
      <c r="W149" s="261"/>
      <c r="X149" s="261"/>
      <c r="Y149" s="261"/>
      <c r="Z149" s="261"/>
      <c r="AA149" s="261"/>
      <c r="AB149" s="262"/>
      <c r="AC149" s="54">
        <f t="shared" si="34"/>
        <v>93.95</v>
      </c>
      <c r="AD149" s="239"/>
    </row>
    <row r="150" spans="1:30" ht="14" x14ac:dyDescent="0.3">
      <c r="A150" s="263">
        <v>43891</v>
      </c>
      <c r="B150" s="165">
        <v>776</v>
      </c>
      <c r="C150" s="166" t="s">
        <v>98</v>
      </c>
      <c r="D150" s="80" t="s">
        <v>173</v>
      </c>
      <c r="E150" s="164" t="s">
        <v>191</v>
      </c>
      <c r="F150" s="164" t="s">
        <v>100</v>
      </c>
      <c r="G150" s="207" t="s">
        <v>101</v>
      </c>
      <c r="H150" s="72"/>
      <c r="I150" s="86">
        <v>167.75</v>
      </c>
      <c r="J150" s="264">
        <f t="shared" si="36"/>
        <v>167.75</v>
      </c>
      <c r="K150" s="102" t="s">
        <v>170</v>
      </c>
      <c r="L150" s="142"/>
      <c r="M150" s="142"/>
      <c r="N150" s="142"/>
      <c r="O150" s="88"/>
      <c r="P150" s="104"/>
      <c r="Q150" s="104">
        <v>167.75</v>
      </c>
      <c r="R150" s="104"/>
      <c r="S150" s="261"/>
      <c r="T150" s="261"/>
      <c r="U150" s="261"/>
      <c r="V150" s="261"/>
      <c r="W150" s="261"/>
      <c r="X150" s="261"/>
      <c r="Y150" s="261"/>
      <c r="Z150" s="261"/>
      <c r="AA150" s="261"/>
      <c r="AB150" s="262"/>
      <c r="AC150" s="54">
        <f t="shared" si="34"/>
        <v>167.75</v>
      </c>
      <c r="AD150" s="239"/>
    </row>
    <row r="151" spans="1:30" ht="14" x14ac:dyDescent="0.3">
      <c r="A151" s="263"/>
      <c r="B151" s="165"/>
      <c r="C151" s="166"/>
      <c r="D151" s="80"/>
      <c r="E151" s="164"/>
      <c r="F151" s="84"/>
      <c r="G151" s="79"/>
      <c r="H151" s="72"/>
      <c r="I151" s="206"/>
      <c r="J151" s="264">
        <f t="shared" si="36"/>
        <v>0</v>
      </c>
      <c r="K151" s="265"/>
      <c r="L151" s="240"/>
      <c r="M151" s="240"/>
      <c r="N151" s="240"/>
      <c r="O151" s="88"/>
      <c r="P151" s="88"/>
      <c r="Q151" s="88"/>
      <c r="R151" s="104"/>
      <c r="S151" s="261"/>
      <c r="T151" s="261"/>
      <c r="U151" s="261"/>
      <c r="V151" s="261"/>
      <c r="W151" s="261"/>
      <c r="X151" s="261"/>
      <c r="Y151" s="261"/>
      <c r="Z151" s="261"/>
      <c r="AA151" s="261"/>
      <c r="AB151" s="262"/>
      <c r="AC151" s="54">
        <f t="shared" si="34"/>
        <v>0</v>
      </c>
      <c r="AD151" s="239"/>
    </row>
    <row r="152" spans="1:30" ht="14" x14ac:dyDescent="0.3">
      <c r="A152" s="263"/>
      <c r="B152" s="165"/>
      <c r="C152" s="166"/>
      <c r="D152" s="80" t="s">
        <v>173</v>
      </c>
      <c r="E152" s="164"/>
      <c r="F152" s="164"/>
      <c r="G152" s="2"/>
      <c r="H152" s="100"/>
      <c r="I152" s="101"/>
      <c r="J152" s="264">
        <f t="shared" si="36"/>
        <v>0</v>
      </c>
      <c r="K152" s="102"/>
      <c r="L152" s="103"/>
      <c r="M152" s="103"/>
      <c r="N152" s="103"/>
      <c r="O152" s="104"/>
      <c r="P152" s="105"/>
      <c r="Q152" s="104"/>
      <c r="R152" s="104"/>
      <c r="S152" s="261"/>
      <c r="T152" s="261"/>
      <c r="U152" s="261"/>
      <c r="V152" s="261"/>
      <c r="W152" s="261"/>
      <c r="X152" s="261"/>
      <c r="Y152" s="261"/>
      <c r="Z152" s="261"/>
      <c r="AA152" s="261"/>
      <c r="AB152" s="262"/>
      <c r="AC152" s="54">
        <f t="shared" si="34"/>
        <v>0</v>
      </c>
      <c r="AD152" s="239"/>
    </row>
    <row r="153" spans="1:30" ht="14" x14ac:dyDescent="0.3">
      <c r="A153" s="263"/>
      <c r="B153" s="165"/>
      <c r="C153" s="166"/>
      <c r="D153" s="80" t="s">
        <v>173</v>
      </c>
      <c r="E153" s="164"/>
      <c r="F153" s="164"/>
      <c r="G153" s="2"/>
      <c r="H153" s="208"/>
      <c r="I153" s="266"/>
      <c r="J153" s="264">
        <f t="shared" si="36"/>
        <v>0</v>
      </c>
      <c r="K153" s="102"/>
      <c r="L153" s="103"/>
      <c r="M153" s="103"/>
      <c r="N153" s="103"/>
      <c r="O153" s="261"/>
      <c r="P153" s="261"/>
      <c r="Q153" s="261"/>
      <c r="R153" s="261"/>
      <c r="S153" s="261"/>
      <c r="T153" s="261"/>
      <c r="U153" s="261"/>
      <c r="V153" s="261"/>
      <c r="W153" s="261"/>
      <c r="X153" s="261"/>
      <c r="Y153" s="261"/>
      <c r="Z153" s="261"/>
      <c r="AA153" s="261"/>
      <c r="AB153" s="262"/>
      <c r="AC153" s="54">
        <f t="shared" si="34"/>
        <v>0</v>
      </c>
      <c r="AD153" s="239"/>
    </row>
    <row r="154" spans="1:30" ht="14" x14ac:dyDescent="0.3">
      <c r="A154" s="263"/>
      <c r="B154" s="165"/>
      <c r="C154" s="166"/>
      <c r="D154" s="80" t="s">
        <v>173</v>
      </c>
      <c r="E154" s="164"/>
      <c r="F154" s="164"/>
      <c r="G154" s="2"/>
      <c r="H154" s="208"/>
      <c r="I154" s="266"/>
      <c r="J154" s="264">
        <f t="shared" si="36"/>
        <v>0</v>
      </c>
      <c r="K154" s="102"/>
      <c r="L154" s="103"/>
      <c r="M154" s="103"/>
      <c r="N154" s="103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  <c r="AA154" s="261"/>
      <c r="AB154" s="262"/>
      <c r="AC154" s="54">
        <f t="shared" si="34"/>
        <v>0</v>
      </c>
      <c r="AD154" s="239"/>
    </row>
    <row r="155" spans="1:30" ht="14" x14ac:dyDescent="0.3">
      <c r="A155" s="263"/>
      <c r="B155" s="165"/>
      <c r="C155" s="166"/>
      <c r="D155" s="80" t="s">
        <v>173</v>
      </c>
      <c r="E155" s="84"/>
      <c r="F155" s="84"/>
      <c r="G155" s="79"/>
      <c r="H155" s="141"/>
      <c r="I155" s="140"/>
      <c r="J155" s="264">
        <f t="shared" si="36"/>
        <v>0</v>
      </c>
      <c r="K155" s="267"/>
      <c r="L155" s="76"/>
      <c r="M155" s="76"/>
      <c r="N155" s="76"/>
      <c r="O155" s="261"/>
      <c r="P155" s="261"/>
      <c r="Q155" s="261"/>
      <c r="R155" s="261"/>
      <c r="S155" s="261"/>
      <c r="T155" s="261"/>
      <c r="U155" s="261"/>
      <c r="V155" s="261"/>
      <c r="W155" s="261"/>
      <c r="X155" s="261"/>
      <c r="Y155" s="261"/>
      <c r="Z155" s="261"/>
      <c r="AA155" s="261"/>
      <c r="AB155" s="262"/>
      <c r="AC155" s="54">
        <f t="shared" si="34"/>
        <v>0</v>
      </c>
      <c r="AD155" s="239"/>
    </row>
    <row r="156" spans="1:30" ht="14" x14ac:dyDescent="0.3">
      <c r="A156" s="263"/>
      <c r="B156" s="165"/>
      <c r="C156" s="166"/>
      <c r="D156" s="80" t="s">
        <v>173</v>
      </c>
      <c r="E156" s="84"/>
      <c r="F156" s="84"/>
      <c r="G156" s="84"/>
      <c r="H156" s="72"/>
      <c r="I156" s="148"/>
      <c r="J156" s="264">
        <f t="shared" si="36"/>
        <v>0</v>
      </c>
      <c r="K156" s="102"/>
      <c r="L156" s="142"/>
      <c r="M156" s="142"/>
      <c r="N156" s="142"/>
      <c r="O156" s="261"/>
      <c r="P156" s="261"/>
      <c r="Q156" s="261"/>
      <c r="R156" s="261"/>
      <c r="S156" s="261"/>
      <c r="T156" s="261"/>
      <c r="U156" s="261"/>
      <c r="V156" s="261"/>
      <c r="W156" s="261"/>
      <c r="X156" s="261"/>
      <c r="Y156" s="261"/>
      <c r="Z156" s="261"/>
      <c r="AA156" s="261"/>
      <c r="AB156" s="262"/>
      <c r="AC156" s="54">
        <f t="shared" si="34"/>
        <v>0</v>
      </c>
      <c r="AD156" s="239"/>
    </row>
    <row r="157" spans="1:30" ht="14" customHeight="1" x14ac:dyDescent="0.3">
      <c r="A157" s="263"/>
      <c r="B157" s="165"/>
      <c r="C157" s="166"/>
      <c r="D157" s="80" t="s">
        <v>173</v>
      </c>
      <c r="E157" s="164"/>
      <c r="F157" s="164"/>
      <c r="G157" s="2"/>
      <c r="H157" s="208"/>
      <c r="I157" s="266"/>
      <c r="J157" s="264">
        <f t="shared" si="36"/>
        <v>0</v>
      </c>
      <c r="K157" s="102"/>
      <c r="L157" s="103"/>
      <c r="M157" s="103"/>
      <c r="N157" s="103"/>
      <c r="O157" s="261"/>
      <c r="P157" s="261"/>
      <c r="Q157" s="261"/>
      <c r="R157" s="261"/>
      <c r="S157" s="261"/>
      <c r="T157" s="261"/>
      <c r="U157" s="261"/>
      <c r="V157" s="261"/>
      <c r="W157" s="261"/>
      <c r="X157" s="261"/>
      <c r="Y157" s="261"/>
      <c r="Z157" s="261"/>
      <c r="AA157" s="261"/>
      <c r="AB157" s="262"/>
      <c r="AC157" s="54">
        <f t="shared" si="34"/>
        <v>0</v>
      </c>
      <c r="AD157" s="239"/>
    </row>
    <row r="158" spans="1:30" ht="16" customHeight="1" thickBot="1" x14ac:dyDescent="0.35">
      <c r="A158" s="109"/>
      <c r="B158" s="110"/>
      <c r="C158" s="111"/>
      <c r="D158" s="109"/>
      <c r="E158" s="109"/>
      <c r="F158" s="109" t="s">
        <v>192</v>
      </c>
      <c r="G158" s="109"/>
      <c r="H158" s="268">
        <f>SUM(H126:H156)</f>
        <v>750.15000000000009</v>
      </c>
      <c r="I158" s="269">
        <f>SUM(I126:I156)</f>
        <v>7197.55</v>
      </c>
      <c r="J158" s="270">
        <f>SUM(J126:J156)</f>
        <v>7197.55</v>
      </c>
      <c r="K158" s="214"/>
      <c r="L158" s="271">
        <f t="shared" ref="L158:AB158" si="38">+SUM(L126:L157)</f>
        <v>2245.6799999999998</v>
      </c>
      <c r="M158" s="271">
        <f t="shared" si="38"/>
        <v>586.20000000000005</v>
      </c>
      <c r="N158" s="271">
        <f t="shared" si="38"/>
        <v>711.86999999999989</v>
      </c>
      <c r="O158" s="271">
        <f t="shared" si="38"/>
        <v>252.89999999999998</v>
      </c>
      <c r="P158" s="271">
        <f t="shared" si="38"/>
        <v>0</v>
      </c>
      <c r="Q158" s="271">
        <f t="shared" si="38"/>
        <v>167.75</v>
      </c>
      <c r="R158" s="271">
        <f t="shared" si="38"/>
        <v>2325</v>
      </c>
      <c r="S158" s="271">
        <f t="shared" si="38"/>
        <v>100</v>
      </c>
      <c r="T158" s="271">
        <f t="shared" si="38"/>
        <v>58</v>
      </c>
      <c r="U158" s="271">
        <f t="shared" si="38"/>
        <v>0</v>
      </c>
      <c r="V158" s="271">
        <f t="shared" si="38"/>
        <v>0</v>
      </c>
      <c r="W158" s="271">
        <f t="shared" si="38"/>
        <v>0</v>
      </c>
      <c r="X158" s="271">
        <f t="shared" si="38"/>
        <v>0</v>
      </c>
      <c r="Y158" s="271">
        <f t="shared" si="38"/>
        <v>0</v>
      </c>
      <c r="Z158" s="271">
        <f t="shared" si="38"/>
        <v>0</v>
      </c>
      <c r="AA158" s="271">
        <f t="shared" si="38"/>
        <v>0</v>
      </c>
      <c r="AB158" s="272">
        <f t="shared" si="38"/>
        <v>0</v>
      </c>
      <c r="AC158" s="54">
        <f t="shared" si="34"/>
        <v>6447.4</v>
      </c>
      <c r="AD158" s="1"/>
    </row>
    <row r="159" spans="1:30" ht="14.5" thickBot="1" x14ac:dyDescent="0.35">
      <c r="A159" s="223"/>
      <c r="B159" s="224"/>
      <c r="C159" s="225"/>
      <c r="D159" s="223"/>
      <c r="E159" s="223"/>
      <c r="F159" s="223" t="s">
        <v>172</v>
      </c>
      <c r="G159" s="223"/>
      <c r="H159" s="226">
        <f t="shared" ref="H159:AB159" si="39">SUM(H158+H119+H77+H43)</f>
        <v>3810.87</v>
      </c>
      <c r="I159" s="226">
        <f t="shared" si="39"/>
        <v>45168.490000000005</v>
      </c>
      <c r="J159" s="226">
        <f t="shared" si="39"/>
        <v>45168.490000000005</v>
      </c>
      <c r="K159" s="273">
        <f t="shared" si="39"/>
        <v>0</v>
      </c>
      <c r="L159" s="226">
        <f t="shared" si="39"/>
        <v>9165.84</v>
      </c>
      <c r="M159" s="226">
        <f t="shared" si="39"/>
        <v>3650.7200000000003</v>
      </c>
      <c r="N159" s="226">
        <f t="shared" si="39"/>
        <v>9352.42</v>
      </c>
      <c r="O159" s="226">
        <f t="shared" si="39"/>
        <v>1133.93</v>
      </c>
      <c r="P159" s="226">
        <f t="shared" si="39"/>
        <v>543.24</v>
      </c>
      <c r="Q159" s="226">
        <f t="shared" si="39"/>
        <v>3227.75</v>
      </c>
      <c r="R159" s="226">
        <f t="shared" si="39"/>
        <v>2592.3000000000002</v>
      </c>
      <c r="S159" s="226">
        <f t="shared" si="39"/>
        <v>932.44999999999982</v>
      </c>
      <c r="T159" s="226">
        <f t="shared" si="39"/>
        <v>10560.84</v>
      </c>
      <c r="U159" s="226">
        <f t="shared" si="39"/>
        <v>198.14</v>
      </c>
      <c r="V159" s="226">
        <f t="shared" si="39"/>
        <v>0</v>
      </c>
      <c r="W159" s="226">
        <f t="shared" si="39"/>
        <v>0</v>
      </c>
      <c r="X159" s="226">
        <f t="shared" si="39"/>
        <v>0</v>
      </c>
      <c r="Y159" s="226">
        <f t="shared" si="39"/>
        <v>0</v>
      </c>
      <c r="Z159" s="226">
        <f t="shared" si="39"/>
        <v>0</v>
      </c>
      <c r="AA159" s="226">
        <f t="shared" si="39"/>
        <v>0</v>
      </c>
      <c r="AB159" s="227">
        <f t="shared" si="39"/>
        <v>0</v>
      </c>
      <c r="AC159" s="54">
        <f t="shared" si="27"/>
        <v>41357.630000000005</v>
      </c>
      <c r="AD159" s="1"/>
    </row>
    <row r="160" spans="1:30" ht="14.5" thickTop="1" x14ac:dyDescent="0.3">
      <c r="A160" s="21" t="s">
        <v>18</v>
      </c>
      <c r="B160" s="21" t="s">
        <v>19</v>
      </c>
      <c r="C160" s="22" t="s">
        <v>113</v>
      </c>
      <c r="D160" s="21" t="s">
        <v>4</v>
      </c>
      <c r="E160" s="21" t="s">
        <v>22</v>
      </c>
      <c r="F160" s="21" t="s">
        <v>23</v>
      </c>
      <c r="G160" s="21"/>
      <c r="H160" s="23" t="s">
        <v>4</v>
      </c>
      <c r="I160" s="274" t="s">
        <v>26</v>
      </c>
      <c r="J160" s="275"/>
      <c r="K160" s="276" t="s">
        <v>28</v>
      </c>
      <c r="L160" s="21" t="str">
        <f t="shared" ref="L160:AB160" si="40">L7</f>
        <v>STAFF COSTS</v>
      </c>
      <c r="M160" s="21" t="str">
        <f t="shared" si="40"/>
        <v>ADMINISTRATION COSTS</v>
      </c>
      <c r="N160" s="21" t="str">
        <f t="shared" si="40"/>
        <v>PARK &amp; OPEN SPACES</v>
      </c>
      <c r="O160" s="21" t="str">
        <f t="shared" si="40"/>
        <v>CHURCHYARD</v>
      </c>
      <c r="P160" s="21" t="str">
        <f t="shared" si="40"/>
        <v>SUBSCRIPTIONS</v>
      </c>
      <c r="Q160" s="21" t="str">
        <f t="shared" si="40"/>
        <v xml:space="preserve">GRANTS &amp; DONATIONS </v>
      </c>
      <c r="R160" s="21" t="str">
        <f t="shared" si="40"/>
        <v>OTHER</v>
      </c>
      <c r="S160" s="21" t="str">
        <f t="shared" si="40"/>
        <v>CONTINGENCY</v>
      </c>
      <c r="T160" s="21" t="str">
        <f t="shared" si="40"/>
        <v>EARMARKED RESERVE FUNDS</v>
      </c>
      <c r="U160" s="21" t="str">
        <f t="shared" si="40"/>
        <v xml:space="preserve">CAPITAL </v>
      </c>
      <c r="V160" s="21">
        <f t="shared" si="40"/>
        <v>0</v>
      </c>
      <c r="W160" s="21">
        <f t="shared" si="40"/>
        <v>0</v>
      </c>
      <c r="X160" s="21">
        <f t="shared" si="40"/>
        <v>0</v>
      </c>
      <c r="Y160" s="21" t="str">
        <f t="shared" si="40"/>
        <v>Cap Project</v>
      </c>
      <c r="Z160" s="21" t="str">
        <f t="shared" si="40"/>
        <v>Cap Project</v>
      </c>
      <c r="AA160" s="21" t="str">
        <f t="shared" si="40"/>
        <v>Cap Project</v>
      </c>
      <c r="AB160" s="125" t="str">
        <f t="shared" si="40"/>
        <v>Other</v>
      </c>
      <c r="AC160" s="54">
        <f t="shared" si="27"/>
        <v>0</v>
      </c>
      <c r="AD160" s="1"/>
    </row>
    <row r="161" spans="1:30" ht="14.5" thickBot="1" x14ac:dyDescent="0.35">
      <c r="A161" s="29"/>
      <c r="B161" s="29"/>
      <c r="C161" s="30" t="s">
        <v>32</v>
      </c>
      <c r="D161" s="29" t="s">
        <v>33</v>
      </c>
      <c r="E161" s="29"/>
      <c r="F161" s="29"/>
      <c r="G161" s="29"/>
      <c r="H161" s="31"/>
      <c r="I161" s="277"/>
      <c r="J161" s="278"/>
      <c r="K161" s="27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126"/>
      <c r="AC161" s="54">
        <f t="shared" si="27"/>
        <v>0</v>
      </c>
      <c r="AD161" s="1"/>
    </row>
    <row r="162" spans="1:30" ht="14" x14ac:dyDescent="0.3">
      <c r="A162" s="215"/>
      <c r="B162" s="216"/>
      <c r="C162" s="217"/>
      <c r="D162" s="215"/>
      <c r="E162" s="215"/>
      <c r="F162" s="215"/>
      <c r="G162" s="215"/>
      <c r="H162" s="280"/>
      <c r="I162" s="281"/>
      <c r="J162" s="282"/>
      <c r="K162" s="220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83"/>
      <c r="AC162" s="54">
        <f t="shared" si="27"/>
        <v>0</v>
      </c>
      <c r="AD162" s="1"/>
    </row>
    <row r="163" spans="1:30" ht="14.5" thickBot="1" x14ac:dyDescent="0.35">
      <c r="A163" s="223"/>
      <c r="B163" s="224"/>
      <c r="C163" s="225"/>
      <c r="D163" s="223"/>
      <c r="E163" s="223"/>
      <c r="F163" s="284" t="s">
        <v>193</v>
      </c>
      <c r="G163" s="284"/>
      <c r="H163" s="285">
        <f>H159</f>
        <v>3810.87</v>
      </c>
      <c r="I163" s="285">
        <f>I159</f>
        <v>45168.490000000005</v>
      </c>
      <c r="J163" s="285">
        <f>J159</f>
        <v>45168.490000000005</v>
      </c>
      <c r="K163" s="286"/>
      <c r="L163" s="287">
        <f t="shared" ref="L163:AB163" si="41">+L121+L158</f>
        <v>9165.84</v>
      </c>
      <c r="M163" s="287">
        <f t="shared" si="41"/>
        <v>3650.7200000000003</v>
      </c>
      <c r="N163" s="287">
        <f t="shared" si="41"/>
        <v>9352.4199999999983</v>
      </c>
      <c r="O163" s="287">
        <f t="shared" si="41"/>
        <v>1133.93</v>
      </c>
      <c r="P163" s="287">
        <f t="shared" si="41"/>
        <v>543.24</v>
      </c>
      <c r="Q163" s="287">
        <f t="shared" si="41"/>
        <v>3227.75</v>
      </c>
      <c r="R163" s="287">
        <f t="shared" si="41"/>
        <v>2592.3000000000002</v>
      </c>
      <c r="S163" s="287">
        <f t="shared" si="41"/>
        <v>932.44999999999993</v>
      </c>
      <c r="T163" s="287">
        <f t="shared" si="41"/>
        <v>10560.84</v>
      </c>
      <c r="U163" s="287">
        <f t="shared" si="41"/>
        <v>198.14</v>
      </c>
      <c r="V163" s="287">
        <f t="shared" si="41"/>
        <v>0</v>
      </c>
      <c r="W163" s="287">
        <f t="shared" si="41"/>
        <v>0</v>
      </c>
      <c r="X163" s="287">
        <f t="shared" si="41"/>
        <v>0</v>
      </c>
      <c r="Y163" s="287">
        <f t="shared" si="41"/>
        <v>0</v>
      </c>
      <c r="Z163" s="287">
        <f t="shared" si="41"/>
        <v>0</v>
      </c>
      <c r="AA163" s="287">
        <f t="shared" si="41"/>
        <v>0</v>
      </c>
      <c r="AB163" s="288">
        <f t="shared" si="41"/>
        <v>0</v>
      </c>
      <c r="AC163" s="54">
        <f t="shared" si="27"/>
        <v>41357.630000000005</v>
      </c>
      <c r="AD163" s="1"/>
    </row>
    <row r="164" spans="1:30" ht="13" thickTop="1" x14ac:dyDescent="0.25">
      <c r="A164" s="1"/>
      <c r="B164" s="2"/>
      <c r="C164" s="3"/>
      <c r="D164" s="1"/>
      <c r="E164" s="1"/>
      <c r="F164" s="1"/>
      <c r="G164" s="1"/>
      <c r="H164" s="289"/>
      <c r="I164" s="20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x14ac:dyDescent="0.25">
      <c r="A165" s="1"/>
      <c r="B165" s="2"/>
      <c r="C165" s="3"/>
      <c r="D165" s="1"/>
      <c r="E165" s="1"/>
      <c r="F165" s="1"/>
      <c r="G165" s="1"/>
      <c r="H165" s="20"/>
      <c r="I165" s="20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30" x14ac:dyDescent="0.25">
      <c r="A166" s="1"/>
      <c r="B166" s="2"/>
      <c r="C166" s="3"/>
      <c r="D166" s="1"/>
      <c r="E166" s="1"/>
      <c r="F166" s="1"/>
      <c r="G166" s="1"/>
      <c r="H166" s="20"/>
      <c r="I166" s="20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</sheetData>
  <autoFilter ref="A9:AE43" xr:uid="{10E6555B-7ED3-4C65-B4B0-6E88419EE3B4}"/>
  <pageMargins left="0.11811023622047245" right="0" top="0.98425196850393704" bottom="0.39370078740157483" header="0.51181102362204722" footer="0"/>
  <pageSetup paperSize="9" scale="84" fitToWidth="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73EE-D872-42FD-96D3-901A13790C45}">
  <sheetPr>
    <tabColor rgb="FFFF0000"/>
    <pageSetUpPr fitToPage="1"/>
  </sheetPr>
  <dimension ref="A1:V38"/>
  <sheetViews>
    <sheetView topLeftCell="A22" workbookViewId="0">
      <selection activeCell="F23" sqref="F23"/>
    </sheetView>
  </sheetViews>
  <sheetFormatPr defaultColWidth="9.1796875" defaultRowHeight="14" x14ac:dyDescent="0.3"/>
  <cols>
    <col min="1" max="1" width="10.81640625" style="297" customWidth="1"/>
    <col min="2" max="2" width="9.1796875" style="297"/>
    <col min="3" max="3" width="32.54296875" style="297" customWidth="1"/>
    <col min="4" max="4" width="9.1796875" style="297"/>
    <col min="5" max="5" width="3.26953125" style="297" customWidth="1"/>
    <col min="6" max="6" width="9.1796875" style="297"/>
    <col min="7" max="7" width="10.1796875" style="297" customWidth="1"/>
    <col min="8" max="8" width="9.54296875" style="297" customWidth="1"/>
    <col min="9" max="11" width="9.1796875" style="297" hidden="1" customWidth="1"/>
    <col min="12" max="12" width="13.26953125" style="297" customWidth="1"/>
    <col min="13" max="13" width="50.453125" style="296" bestFit="1" customWidth="1"/>
    <col min="14" max="14" width="86" style="297" bestFit="1" customWidth="1"/>
    <col min="15" max="256" width="9.1796875" style="297"/>
    <col min="257" max="257" width="10.81640625" style="297" customWidth="1"/>
    <col min="258" max="258" width="9.1796875" style="297"/>
    <col min="259" max="259" width="32.54296875" style="297" customWidth="1"/>
    <col min="260" max="260" width="9.1796875" style="297"/>
    <col min="261" max="261" width="3.26953125" style="297" customWidth="1"/>
    <col min="262" max="262" width="9.1796875" style="297"/>
    <col min="263" max="263" width="10.1796875" style="297" customWidth="1"/>
    <col min="264" max="264" width="9.54296875" style="297" customWidth="1"/>
    <col min="265" max="267" width="0" style="297" hidden="1" customWidth="1"/>
    <col min="268" max="268" width="13.26953125" style="297" customWidth="1"/>
    <col min="269" max="269" width="50.453125" style="297" bestFit="1" customWidth="1"/>
    <col min="270" max="270" width="86" style="297" bestFit="1" customWidth="1"/>
    <col min="271" max="512" width="9.1796875" style="297"/>
    <col min="513" max="513" width="10.81640625" style="297" customWidth="1"/>
    <col min="514" max="514" width="9.1796875" style="297"/>
    <col min="515" max="515" width="32.54296875" style="297" customWidth="1"/>
    <col min="516" max="516" width="9.1796875" style="297"/>
    <col min="517" max="517" width="3.26953125" style="297" customWidth="1"/>
    <col min="518" max="518" width="9.1796875" style="297"/>
    <col min="519" max="519" width="10.1796875" style="297" customWidth="1"/>
    <col min="520" max="520" width="9.54296875" style="297" customWidth="1"/>
    <col min="521" max="523" width="0" style="297" hidden="1" customWidth="1"/>
    <col min="524" max="524" width="13.26953125" style="297" customWidth="1"/>
    <col min="525" max="525" width="50.453125" style="297" bestFit="1" customWidth="1"/>
    <col min="526" max="526" width="86" style="297" bestFit="1" customWidth="1"/>
    <col min="527" max="768" width="9.1796875" style="297"/>
    <col min="769" max="769" width="10.81640625" style="297" customWidth="1"/>
    <col min="770" max="770" width="9.1796875" style="297"/>
    <col min="771" max="771" width="32.54296875" style="297" customWidth="1"/>
    <col min="772" max="772" width="9.1796875" style="297"/>
    <col min="773" max="773" width="3.26953125" style="297" customWidth="1"/>
    <col min="774" max="774" width="9.1796875" style="297"/>
    <col min="775" max="775" width="10.1796875" style="297" customWidth="1"/>
    <col min="776" max="776" width="9.54296875" style="297" customWidth="1"/>
    <col min="777" max="779" width="0" style="297" hidden="1" customWidth="1"/>
    <col min="780" max="780" width="13.26953125" style="297" customWidth="1"/>
    <col min="781" max="781" width="50.453125" style="297" bestFit="1" customWidth="1"/>
    <col min="782" max="782" width="86" style="297" bestFit="1" customWidth="1"/>
    <col min="783" max="1024" width="9.1796875" style="297"/>
    <col min="1025" max="1025" width="10.81640625" style="297" customWidth="1"/>
    <col min="1026" max="1026" width="9.1796875" style="297"/>
    <col min="1027" max="1027" width="32.54296875" style="297" customWidth="1"/>
    <col min="1028" max="1028" width="9.1796875" style="297"/>
    <col min="1029" max="1029" width="3.26953125" style="297" customWidth="1"/>
    <col min="1030" max="1030" width="9.1796875" style="297"/>
    <col min="1031" max="1031" width="10.1796875" style="297" customWidth="1"/>
    <col min="1032" max="1032" width="9.54296875" style="297" customWidth="1"/>
    <col min="1033" max="1035" width="0" style="297" hidden="1" customWidth="1"/>
    <col min="1036" max="1036" width="13.26953125" style="297" customWidth="1"/>
    <col min="1037" max="1037" width="50.453125" style="297" bestFit="1" customWidth="1"/>
    <col min="1038" max="1038" width="86" style="297" bestFit="1" customWidth="1"/>
    <col min="1039" max="1280" width="9.1796875" style="297"/>
    <col min="1281" max="1281" width="10.81640625" style="297" customWidth="1"/>
    <col min="1282" max="1282" width="9.1796875" style="297"/>
    <col min="1283" max="1283" width="32.54296875" style="297" customWidth="1"/>
    <col min="1284" max="1284" width="9.1796875" style="297"/>
    <col min="1285" max="1285" width="3.26953125" style="297" customWidth="1"/>
    <col min="1286" max="1286" width="9.1796875" style="297"/>
    <col min="1287" max="1287" width="10.1796875" style="297" customWidth="1"/>
    <col min="1288" max="1288" width="9.54296875" style="297" customWidth="1"/>
    <col min="1289" max="1291" width="0" style="297" hidden="1" customWidth="1"/>
    <col min="1292" max="1292" width="13.26953125" style="297" customWidth="1"/>
    <col min="1293" max="1293" width="50.453125" style="297" bestFit="1" customWidth="1"/>
    <col min="1294" max="1294" width="86" style="297" bestFit="1" customWidth="1"/>
    <col min="1295" max="1536" width="9.1796875" style="297"/>
    <col min="1537" max="1537" width="10.81640625" style="297" customWidth="1"/>
    <col min="1538" max="1538" width="9.1796875" style="297"/>
    <col min="1539" max="1539" width="32.54296875" style="297" customWidth="1"/>
    <col min="1540" max="1540" width="9.1796875" style="297"/>
    <col min="1541" max="1541" width="3.26953125" style="297" customWidth="1"/>
    <col min="1542" max="1542" width="9.1796875" style="297"/>
    <col min="1543" max="1543" width="10.1796875" style="297" customWidth="1"/>
    <col min="1544" max="1544" width="9.54296875" style="297" customWidth="1"/>
    <col min="1545" max="1547" width="0" style="297" hidden="1" customWidth="1"/>
    <col min="1548" max="1548" width="13.26953125" style="297" customWidth="1"/>
    <col min="1549" max="1549" width="50.453125" style="297" bestFit="1" customWidth="1"/>
    <col min="1550" max="1550" width="86" style="297" bestFit="1" customWidth="1"/>
    <col min="1551" max="1792" width="9.1796875" style="297"/>
    <col min="1793" max="1793" width="10.81640625" style="297" customWidth="1"/>
    <col min="1794" max="1794" width="9.1796875" style="297"/>
    <col min="1795" max="1795" width="32.54296875" style="297" customWidth="1"/>
    <col min="1796" max="1796" width="9.1796875" style="297"/>
    <col min="1797" max="1797" width="3.26953125" style="297" customWidth="1"/>
    <col min="1798" max="1798" width="9.1796875" style="297"/>
    <col min="1799" max="1799" width="10.1796875" style="297" customWidth="1"/>
    <col min="1800" max="1800" width="9.54296875" style="297" customWidth="1"/>
    <col min="1801" max="1803" width="0" style="297" hidden="1" customWidth="1"/>
    <col min="1804" max="1804" width="13.26953125" style="297" customWidth="1"/>
    <col min="1805" max="1805" width="50.453125" style="297" bestFit="1" customWidth="1"/>
    <col min="1806" max="1806" width="86" style="297" bestFit="1" customWidth="1"/>
    <col min="1807" max="2048" width="9.1796875" style="297"/>
    <col min="2049" max="2049" width="10.81640625" style="297" customWidth="1"/>
    <col min="2050" max="2050" width="9.1796875" style="297"/>
    <col min="2051" max="2051" width="32.54296875" style="297" customWidth="1"/>
    <col min="2052" max="2052" width="9.1796875" style="297"/>
    <col min="2053" max="2053" width="3.26953125" style="297" customWidth="1"/>
    <col min="2054" max="2054" width="9.1796875" style="297"/>
    <col min="2055" max="2055" width="10.1796875" style="297" customWidth="1"/>
    <col min="2056" max="2056" width="9.54296875" style="297" customWidth="1"/>
    <col min="2057" max="2059" width="0" style="297" hidden="1" customWidth="1"/>
    <col min="2060" max="2060" width="13.26953125" style="297" customWidth="1"/>
    <col min="2061" max="2061" width="50.453125" style="297" bestFit="1" customWidth="1"/>
    <col min="2062" max="2062" width="86" style="297" bestFit="1" customWidth="1"/>
    <col min="2063" max="2304" width="9.1796875" style="297"/>
    <col min="2305" max="2305" width="10.81640625" style="297" customWidth="1"/>
    <col min="2306" max="2306" width="9.1796875" style="297"/>
    <col min="2307" max="2307" width="32.54296875" style="297" customWidth="1"/>
    <col min="2308" max="2308" width="9.1796875" style="297"/>
    <col min="2309" max="2309" width="3.26953125" style="297" customWidth="1"/>
    <col min="2310" max="2310" width="9.1796875" style="297"/>
    <col min="2311" max="2311" width="10.1796875" style="297" customWidth="1"/>
    <col min="2312" max="2312" width="9.54296875" style="297" customWidth="1"/>
    <col min="2313" max="2315" width="0" style="297" hidden="1" customWidth="1"/>
    <col min="2316" max="2316" width="13.26953125" style="297" customWidth="1"/>
    <col min="2317" max="2317" width="50.453125" style="297" bestFit="1" customWidth="1"/>
    <col min="2318" max="2318" width="86" style="297" bestFit="1" customWidth="1"/>
    <col min="2319" max="2560" width="9.1796875" style="297"/>
    <col min="2561" max="2561" width="10.81640625" style="297" customWidth="1"/>
    <col min="2562" max="2562" width="9.1796875" style="297"/>
    <col min="2563" max="2563" width="32.54296875" style="297" customWidth="1"/>
    <col min="2564" max="2564" width="9.1796875" style="297"/>
    <col min="2565" max="2565" width="3.26953125" style="297" customWidth="1"/>
    <col min="2566" max="2566" width="9.1796875" style="297"/>
    <col min="2567" max="2567" width="10.1796875" style="297" customWidth="1"/>
    <col min="2568" max="2568" width="9.54296875" style="297" customWidth="1"/>
    <col min="2569" max="2571" width="0" style="297" hidden="1" customWidth="1"/>
    <col min="2572" max="2572" width="13.26953125" style="297" customWidth="1"/>
    <col min="2573" max="2573" width="50.453125" style="297" bestFit="1" customWidth="1"/>
    <col min="2574" max="2574" width="86" style="297" bestFit="1" customWidth="1"/>
    <col min="2575" max="2816" width="9.1796875" style="297"/>
    <col min="2817" max="2817" width="10.81640625" style="297" customWidth="1"/>
    <col min="2818" max="2818" width="9.1796875" style="297"/>
    <col min="2819" max="2819" width="32.54296875" style="297" customWidth="1"/>
    <col min="2820" max="2820" width="9.1796875" style="297"/>
    <col min="2821" max="2821" width="3.26953125" style="297" customWidth="1"/>
    <col min="2822" max="2822" width="9.1796875" style="297"/>
    <col min="2823" max="2823" width="10.1796875" style="297" customWidth="1"/>
    <col min="2824" max="2824" width="9.54296875" style="297" customWidth="1"/>
    <col min="2825" max="2827" width="0" style="297" hidden="1" customWidth="1"/>
    <col min="2828" max="2828" width="13.26953125" style="297" customWidth="1"/>
    <col min="2829" max="2829" width="50.453125" style="297" bestFit="1" customWidth="1"/>
    <col min="2830" max="2830" width="86" style="297" bestFit="1" customWidth="1"/>
    <col min="2831" max="3072" width="9.1796875" style="297"/>
    <col min="3073" max="3073" width="10.81640625" style="297" customWidth="1"/>
    <col min="3074" max="3074" width="9.1796875" style="297"/>
    <col min="3075" max="3075" width="32.54296875" style="297" customWidth="1"/>
    <col min="3076" max="3076" width="9.1796875" style="297"/>
    <col min="3077" max="3077" width="3.26953125" style="297" customWidth="1"/>
    <col min="3078" max="3078" width="9.1796875" style="297"/>
    <col min="3079" max="3079" width="10.1796875" style="297" customWidth="1"/>
    <col min="3080" max="3080" width="9.54296875" style="297" customWidth="1"/>
    <col min="3081" max="3083" width="0" style="297" hidden="1" customWidth="1"/>
    <col min="3084" max="3084" width="13.26953125" style="297" customWidth="1"/>
    <col min="3085" max="3085" width="50.453125" style="297" bestFit="1" customWidth="1"/>
    <col min="3086" max="3086" width="86" style="297" bestFit="1" customWidth="1"/>
    <col min="3087" max="3328" width="9.1796875" style="297"/>
    <col min="3329" max="3329" width="10.81640625" style="297" customWidth="1"/>
    <col min="3330" max="3330" width="9.1796875" style="297"/>
    <col min="3331" max="3331" width="32.54296875" style="297" customWidth="1"/>
    <col min="3332" max="3332" width="9.1796875" style="297"/>
    <col min="3333" max="3333" width="3.26953125" style="297" customWidth="1"/>
    <col min="3334" max="3334" width="9.1796875" style="297"/>
    <col min="3335" max="3335" width="10.1796875" style="297" customWidth="1"/>
    <col min="3336" max="3336" width="9.54296875" style="297" customWidth="1"/>
    <col min="3337" max="3339" width="0" style="297" hidden="1" customWidth="1"/>
    <col min="3340" max="3340" width="13.26953125" style="297" customWidth="1"/>
    <col min="3341" max="3341" width="50.453125" style="297" bestFit="1" customWidth="1"/>
    <col min="3342" max="3342" width="86" style="297" bestFit="1" customWidth="1"/>
    <col min="3343" max="3584" width="9.1796875" style="297"/>
    <col min="3585" max="3585" width="10.81640625" style="297" customWidth="1"/>
    <col min="3586" max="3586" width="9.1796875" style="297"/>
    <col min="3587" max="3587" width="32.54296875" style="297" customWidth="1"/>
    <col min="3588" max="3588" width="9.1796875" style="297"/>
    <col min="3589" max="3589" width="3.26953125" style="297" customWidth="1"/>
    <col min="3590" max="3590" width="9.1796875" style="297"/>
    <col min="3591" max="3591" width="10.1796875" style="297" customWidth="1"/>
    <col min="3592" max="3592" width="9.54296875" style="297" customWidth="1"/>
    <col min="3593" max="3595" width="0" style="297" hidden="1" customWidth="1"/>
    <col min="3596" max="3596" width="13.26953125" style="297" customWidth="1"/>
    <col min="3597" max="3597" width="50.453125" style="297" bestFit="1" customWidth="1"/>
    <col min="3598" max="3598" width="86" style="297" bestFit="1" customWidth="1"/>
    <col min="3599" max="3840" width="9.1796875" style="297"/>
    <col min="3841" max="3841" width="10.81640625" style="297" customWidth="1"/>
    <col min="3842" max="3842" width="9.1796875" style="297"/>
    <col min="3843" max="3843" width="32.54296875" style="297" customWidth="1"/>
    <col min="3844" max="3844" width="9.1796875" style="297"/>
    <col min="3845" max="3845" width="3.26953125" style="297" customWidth="1"/>
    <col min="3846" max="3846" width="9.1796875" style="297"/>
    <col min="3847" max="3847" width="10.1796875" style="297" customWidth="1"/>
    <col min="3848" max="3848" width="9.54296875" style="297" customWidth="1"/>
    <col min="3849" max="3851" width="0" style="297" hidden="1" customWidth="1"/>
    <col min="3852" max="3852" width="13.26953125" style="297" customWidth="1"/>
    <col min="3853" max="3853" width="50.453125" style="297" bestFit="1" customWidth="1"/>
    <col min="3854" max="3854" width="86" style="297" bestFit="1" customWidth="1"/>
    <col min="3855" max="4096" width="9.1796875" style="297"/>
    <col min="4097" max="4097" width="10.81640625" style="297" customWidth="1"/>
    <col min="4098" max="4098" width="9.1796875" style="297"/>
    <col min="4099" max="4099" width="32.54296875" style="297" customWidth="1"/>
    <col min="4100" max="4100" width="9.1796875" style="297"/>
    <col min="4101" max="4101" width="3.26953125" style="297" customWidth="1"/>
    <col min="4102" max="4102" width="9.1796875" style="297"/>
    <col min="4103" max="4103" width="10.1796875" style="297" customWidth="1"/>
    <col min="4104" max="4104" width="9.54296875" style="297" customWidth="1"/>
    <col min="4105" max="4107" width="0" style="297" hidden="1" customWidth="1"/>
    <col min="4108" max="4108" width="13.26953125" style="297" customWidth="1"/>
    <col min="4109" max="4109" width="50.453125" style="297" bestFit="1" customWidth="1"/>
    <col min="4110" max="4110" width="86" style="297" bestFit="1" customWidth="1"/>
    <col min="4111" max="4352" width="9.1796875" style="297"/>
    <col min="4353" max="4353" width="10.81640625" style="297" customWidth="1"/>
    <col min="4354" max="4354" width="9.1796875" style="297"/>
    <col min="4355" max="4355" width="32.54296875" style="297" customWidth="1"/>
    <col min="4356" max="4356" width="9.1796875" style="297"/>
    <col min="4357" max="4357" width="3.26953125" style="297" customWidth="1"/>
    <col min="4358" max="4358" width="9.1796875" style="297"/>
    <col min="4359" max="4359" width="10.1796875" style="297" customWidth="1"/>
    <col min="4360" max="4360" width="9.54296875" style="297" customWidth="1"/>
    <col min="4361" max="4363" width="0" style="297" hidden="1" customWidth="1"/>
    <col min="4364" max="4364" width="13.26953125" style="297" customWidth="1"/>
    <col min="4365" max="4365" width="50.453125" style="297" bestFit="1" customWidth="1"/>
    <col min="4366" max="4366" width="86" style="297" bestFit="1" customWidth="1"/>
    <col min="4367" max="4608" width="9.1796875" style="297"/>
    <col min="4609" max="4609" width="10.81640625" style="297" customWidth="1"/>
    <col min="4610" max="4610" width="9.1796875" style="297"/>
    <col min="4611" max="4611" width="32.54296875" style="297" customWidth="1"/>
    <col min="4612" max="4612" width="9.1796875" style="297"/>
    <col min="4613" max="4613" width="3.26953125" style="297" customWidth="1"/>
    <col min="4614" max="4614" width="9.1796875" style="297"/>
    <col min="4615" max="4615" width="10.1796875" style="297" customWidth="1"/>
    <col min="4616" max="4616" width="9.54296875" style="297" customWidth="1"/>
    <col min="4617" max="4619" width="0" style="297" hidden="1" customWidth="1"/>
    <col min="4620" max="4620" width="13.26953125" style="297" customWidth="1"/>
    <col min="4621" max="4621" width="50.453125" style="297" bestFit="1" customWidth="1"/>
    <col min="4622" max="4622" width="86" style="297" bestFit="1" customWidth="1"/>
    <col min="4623" max="4864" width="9.1796875" style="297"/>
    <col min="4865" max="4865" width="10.81640625" style="297" customWidth="1"/>
    <col min="4866" max="4866" width="9.1796875" style="297"/>
    <col min="4867" max="4867" width="32.54296875" style="297" customWidth="1"/>
    <col min="4868" max="4868" width="9.1796875" style="297"/>
    <col min="4869" max="4869" width="3.26953125" style="297" customWidth="1"/>
    <col min="4870" max="4870" width="9.1796875" style="297"/>
    <col min="4871" max="4871" width="10.1796875" style="297" customWidth="1"/>
    <col min="4872" max="4872" width="9.54296875" style="297" customWidth="1"/>
    <col min="4873" max="4875" width="0" style="297" hidden="1" customWidth="1"/>
    <col min="4876" max="4876" width="13.26953125" style="297" customWidth="1"/>
    <col min="4877" max="4877" width="50.453125" style="297" bestFit="1" customWidth="1"/>
    <col min="4878" max="4878" width="86" style="297" bestFit="1" customWidth="1"/>
    <col min="4879" max="5120" width="9.1796875" style="297"/>
    <col min="5121" max="5121" width="10.81640625" style="297" customWidth="1"/>
    <col min="5122" max="5122" width="9.1796875" style="297"/>
    <col min="5123" max="5123" width="32.54296875" style="297" customWidth="1"/>
    <col min="5124" max="5124" width="9.1796875" style="297"/>
    <col min="5125" max="5125" width="3.26953125" style="297" customWidth="1"/>
    <col min="5126" max="5126" width="9.1796875" style="297"/>
    <col min="5127" max="5127" width="10.1796875" style="297" customWidth="1"/>
    <col min="5128" max="5128" width="9.54296875" style="297" customWidth="1"/>
    <col min="5129" max="5131" width="0" style="297" hidden="1" customWidth="1"/>
    <col min="5132" max="5132" width="13.26953125" style="297" customWidth="1"/>
    <col min="5133" max="5133" width="50.453125" style="297" bestFit="1" customWidth="1"/>
    <col min="5134" max="5134" width="86" style="297" bestFit="1" customWidth="1"/>
    <col min="5135" max="5376" width="9.1796875" style="297"/>
    <col min="5377" max="5377" width="10.81640625" style="297" customWidth="1"/>
    <col min="5378" max="5378" width="9.1796875" style="297"/>
    <col min="5379" max="5379" width="32.54296875" style="297" customWidth="1"/>
    <col min="5380" max="5380" width="9.1796875" style="297"/>
    <col min="5381" max="5381" width="3.26953125" style="297" customWidth="1"/>
    <col min="5382" max="5382" width="9.1796875" style="297"/>
    <col min="5383" max="5383" width="10.1796875" style="297" customWidth="1"/>
    <col min="5384" max="5384" width="9.54296875" style="297" customWidth="1"/>
    <col min="5385" max="5387" width="0" style="297" hidden="1" customWidth="1"/>
    <col min="5388" max="5388" width="13.26953125" style="297" customWidth="1"/>
    <col min="5389" max="5389" width="50.453125" style="297" bestFit="1" customWidth="1"/>
    <col min="5390" max="5390" width="86" style="297" bestFit="1" customWidth="1"/>
    <col min="5391" max="5632" width="9.1796875" style="297"/>
    <col min="5633" max="5633" width="10.81640625" style="297" customWidth="1"/>
    <col min="5634" max="5634" width="9.1796875" style="297"/>
    <col min="5635" max="5635" width="32.54296875" style="297" customWidth="1"/>
    <col min="5636" max="5636" width="9.1796875" style="297"/>
    <col min="5637" max="5637" width="3.26953125" style="297" customWidth="1"/>
    <col min="5638" max="5638" width="9.1796875" style="297"/>
    <col min="5639" max="5639" width="10.1796875" style="297" customWidth="1"/>
    <col min="5640" max="5640" width="9.54296875" style="297" customWidth="1"/>
    <col min="5641" max="5643" width="0" style="297" hidden="1" customWidth="1"/>
    <col min="5644" max="5644" width="13.26953125" style="297" customWidth="1"/>
    <col min="5645" max="5645" width="50.453125" style="297" bestFit="1" customWidth="1"/>
    <col min="5646" max="5646" width="86" style="297" bestFit="1" customWidth="1"/>
    <col min="5647" max="5888" width="9.1796875" style="297"/>
    <col min="5889" max="5889" width="10.81640625" style="297" customWidth="1"/>
    <col min="5890" max="5890" width="9.1796875" style="297"/>
    <col min="5891" max="5891" width="32.54296875" style="297" customWidth="1"/>
    <col min="5892" max="5892" width="9.1796875" style="297"/>
    <col min="5893" max="5893" width="3.26953125" style="297" customWidth="1"/>
    <col min="5894" max="5894" width="9.1796875" style="297"/>
    <col min="5895" max="5895" width="10.1796875" style="297" customWidth="1"/>
    <col min="5896" max="5896" width="9.54296875" style="297" customWidth="1"/>
    <col min="5897" max="5899" width="0" style="297" hidden="1" customWidth="1"/>
    <col min="5900" max="5900" width="13.26953125" style="297" customWidth="1"/>
    <col min="5901" max="5901" width="50.453125" style="297" bestFit="1" customWidth="1"/>
    <col min="5902" max="5902" width="86" style="297" bestFit="1" customWidth="1"/>
    <col min="5903" max="6144" width="9.1796875" style="297"/>
    <col min="6145" max="6145" width="10.81640625" style="297" customWidth="1"/>
    <col min="6146" max="6146" width="9.1796875" style="297"/>
    <col min="6147" max="6147" width="32.54296875" style="297" customWidth="1"/>
    <col min="6148" max="6148" width="9.1796875" style="297"/>
    <col min="6149" max="6149" width="3.26953125" style="297" customWidth="1"/>
    <col min="6150" max="6150" width="9.1796875" style="297"/>
    <col min="6151" max="6151" width="10.1796875" style="297" customWidth="1"/>
    <col min="6152" max="6152" width="9.54296875" style="297" customWidth="1"/>
    <col min="6153" max="6155" width="0" style="297" hidden="1" customWidth="1"/>
    <col min="6156" max="6156" width="13.26953125" style="297" customWidth="1"/>
    <col min="6157" max="6157" width="50.453125" style="297" bestFit="1" customWidth="1"/>
    <col min="6158" max="6158" width="86" style="297" bestFit="1" customWidth="1"/>
    <col min="6159" max="6400" width="9.1796875" style="297"/>
    <col min="6401" max="6401" width="10.81640625" style="297" customWidth="1"/>
    <col min="6402" max="6402" width="9.1796875" style="297"/>
    <col min="6403" max="6403" width="32.54296875" style="297" customWidth="1"/>
    <col min="6404" max="6404" width="9.1796875" style="297"/>
    <col min="6405" max="6405" width="3.26953125" style="297" customWidth="1"/>
    <col min="6406" max="6406" width="9.1796875" style="297"/>
    <col min="6407" max="6407" width="10.1796875" style="297" customWidth="1"/>
    <col min="6408" max="6408" width="9.54296875" style="297" customWidth="1"/>
    <col min="6409" max="6411" width="0" style="297" hidden="1" customWidth="1"/>
    <col min="6412" max="6412" width="13.26953125" style="297" customWidth="1"/>
    <col min="6413" max="6413" width="50.453125" style="297" bestFit="1" customWidth="1"/>
    <col min="6414" max="6414" width="86" style="297" bestFit="1" customWidth="1"/>
    <col min="6415" max="6656" width="9.1796875" style="297"/>
    <col min="6657" max="6657" width="10.81640625" style="297" customWidth="1"/>
    <col min="6658" max="6658" width="9.1796875" style="297"/>
    <col min="6659" max="6659" width="32.54296875" style="297" customWidth="1"/>
    <col min="6660" max="6660" width="9.1796875" style="297"/>
    <col min="6661" max="6661" width="3.26953125" style="297" customWidth="1"/>
    <col min="6662" max="6662" width="9.1796875" style="297"/>
    <col min="6663" max="6663" width="10.1796875" style="297" customWidth="1"/>
    <col min="6664" max="6664" width="9.54296875" style="297" customWidth="1"/>
    <col min="6665" max="6667" width="0" style="297" hidden="1" customWidth="1"/>
    <col min="6668" max="6668" width="13.26953125" style="297" customWidth="1"/>
    <col min="6669" max="6669" width="50.453125" style="297" bestFit="1" customWidth="1"/>
    <col min="6670" max="6670" width="86" style="297" bestFit="1" customWidth="1"/>
    <col min="6671" max="6912" width="9.1796875" style="297"/>
    <col min="6913" max="6913" width="10.81640625" style="297" customWidth="1"/>
    <col min="6914" max="6914" width="9.1796875" style="297"/>
    <col min="6915" max="6915" width="32.54296875" style="297" customWidth="1"/>
    <col min="6916" max="6916" width="9.1796875" style="297"/>
    <col min="6917" max="6917" width="3.26953125" style="297" customWidth="1"/>
    <col min="6918" max="6918" width="9.1796875" style="297"/>
    <col min="6919" max="6919" width="10.1796875" style="297" customWidth="1"/>
    <col min="6920" max="6920" width="9.54296875" style="297" customWidth="1"/>
    <col min="6921" max="6923" width="0" style="297" hidden="1" customWidth="1"/>
    <col min="6924" max="6924" width="13.26953125" style="297" customWidth="1"/>
    <col min="6925" max="6925" width="50.453125" style="297" bestFit="1" customWidth="1"/>
    <col min="6926" max="6926" width="86" style="297" bestFit="1" customWidth="1"/>
    <col min="6927" max="7168" width="9.1796875" style="297"/>
    <col min="7169" max="7169" width="10.81640625" style="297" customWidth="1"/>
    <col min="7170" max="7170" width="9.1796875" style="297"/>
    <col min="7171" max="7171" width="32.54296875" style="297" customWidth="1"/>
    <col min="7172" max="7172" width="9.1796875" style="297"/>
    <col min="7173" max="7173" width="3.26953125" style="297" customWidth="1"/>
    <col min="7174" max="7174" width="9.1796875" style="297"/>
    <col min="7175" max="7175" width="10.1796875" style="297" customWidth="1"/>
    <col min="7176" max="7176" width="9.54296875" style="297" customWidth="1"/>
    <col min="7177" max="7179" width="0" style="297" hidden="1" customWidth="1"/>
    <col min="7180" max="7180" width="13.26953125" style="297" customWidth="1"/>
    <col min="7181" max="7181" width="50.453125" style="297" bestFit="1" customWidth="1"/>
    <col min="7182" max="7182" width="86" style="297" bestFit="1" customWidth="1"/>
    <col min="7183" max="7424" width="9.1796875" style="297"/>
    <col min="7425" max="7425" width="10.81640625" style="297" customWidth="1"/>
    <col min="7426" max="7426" width="9.1796875" style="297"/>
    <col min="7427" max="7427" width="32.54296875" style="297" customWidth="1"/>
    <col min="7428" max="7428" width="9.1796875" style="297"/>
    <col min="7429" max="7429" width="3.26953125" style="297" customWidth="1"/>
    <col min="7430" max="7430" width="9.1796875" style="297"/>
    <col min="7431" max="7431" width="10.1796875" style="297" customWidth="1"/>
    <col min="7432" max="7432" width="9.54296875" style="297" customWidth="1"/>
    <col min="7433" max="7435" width="0" style="297" hidden="1" customWidth="1"/>
    <col min="7436" max="7436" width="13.26953125" style="297" customWidth="1"/>
    <col min="7437" max="7437" width="50.453125" style="297" bestFit="1" customWidth="1"/>
    <col min="7438" max="7438" width="86" style="297" bestFit="1" customWidth="1"/>
    <col min="7439" max="7680" width="9.1796875" style="297"/>
    <col min="7681" max="7681" width="10.81640625" style="297" customWidth="1"/>
    <col min="7682" max="7682" width="9.1796875" style="297"/>
    <col min="7683" max="7683" width="32.54296875" style="297" customWidth="1"/>
    <col min="7684" max="7684" width="9.1796875" style="297"/>
    <col min="7685" max="7685" width="3.26953125" style="297" customWidth="1"/>
    <col min="7686" max="7686" width="9.1796875" style="297"/>
    <col min="7687" max="7687" width="10.1796875" style="297" customWidth="1"/>
    <col min="7688" max="7688" width="9.54296875" style="297" customWidth="1"/>
    <col min="7689" max="7691" width="0" style="297" hidden="1" customWidth="1"/>
    <col min="7692" max="7692" width="13.26953125" style="297" customWidth="1"/>
    <col min="7693" max="7693" width="50.453125" style="297" bestFit="1" customWidth="1"/>
    <col min="7694" max="7694" width="86" style="297" bestFit="1" customWidth="1"/>
    <col min="7695" max="7936" width="9.1796875" style="297"/>
    <col min="7937" max="7937" width="10.81640625" style="297" customWidth="1"/>
    <col min="7938" max="7938" width="9.1796875" style="297"/>
    <col min="7939" max="7939" width="32.54296875" style="297" customWidth="1"/>
    <col min="7940" max="7940" width="9.1796875" style="297"/>
    <col min="7941" max="7941" width="3.26953125" style="297" customWidth="1"/>
    <col min="7942" max="7942" width="9.1796875" style="297"/>
    <col min="7943" max="7943" width="10.1796875" style="297" customWidth="1"/>
    <col min="7944" max="7944" width="9.54296875" style="297" customWidth="1"/>
    <col min="7945" max="7947" width="0" style="297" hidden="1" customWidth="1"/>
    <col min="7948" max="7948" width="13.26953125" style="297" customWidth="1"/>
    <col min="7949" max="7949" width="50.453125" style="297" bestFit="1" customWidth="1"/>
    <col min="7950" max="7950" width="86" style="297" bestFit="1" customWidth="1"/>
    <col min="7951" max="8192" width="9.1796875" style="297"/>
    <col min="8193" max="8193" width="10.81640625" style="297" customWidth="1"/>
    <col min="8194" max="8194" width="9.1796875" style="297"/>
    <col min="8195" max="8195" width="32.54296875" style="297" customWidth="1"/>
    <col min="8196" max="8196" width="9.1796875" style="297"/>
    <col min="8197" max="8197" width="3.26953125" style="297" customWidth="1"/>
    <col min="8198" max="8198" width="9.1796875" style="297"/>
    <col min="8199" max="8199" width="10.1796875" style="297" customWidth="1"/>
    <col min="8200" max="8200" width="9.54296875" style="297" customWidth="1"/>
    <col min="8201" max="8203" width="0" style="297" hidden="1" customWidth="1"/>
    <col min="8204" max="8204" width="13.26953125" style="297" customWidth="1"/>
    <col min="8205" max="8205" width="50.453125" style="297" bestFit="1" customWidth="1"/>
    <col min="8206" max="8206" width="86" style="297" bestFit="1" customWidth="1"/>
    <col min="8207" max="8448" width="9.1796875" style="297"/>
    <col min="8449" max="8449" width="10.81640625" style="297" customWidth="1"/>
    <col min="8450" max="8450" width="9.1796875" style="297"/>
    <col min="8451" max="8451" width="32.54296875" style="297" customWidth="1"/>
    <col min="8452" max="8452" width="9.1796875" style="297"/>
    <col min="8453" max="8453" width="3.26953125" style="297" customWidth="1"/>
    <col min="8454" max="8454" width="9.1796875" style="297"/>
    <col min="8455" max="8455" width="10.1796875" style="297" customWidth="1"/>
    <col min="8456" max="8456" width="9.54296875" style="297" customWidth="1"/>
    <col min="8457" max="8459" width="0" style="297" hidden="1" customWidth="1"/>
    <col min="8460" max="8460" width="13.26953125" style="297" customWidth="1"/>
    <col min="8461" max="8461" width="50.453125" style="297" bestFit="1" customWidth="1"/>
    <col min="8462" max="8462" width="86" style="297" bestFit="1" customWidth="1"/>
    <col min="8463" max="8704" width="9.1796875" style="297"/>
    <col min="8705" max="8705" width="10.81640625" style="297" customWidth="1"/>
    <col min="8706" max="8706" width="9.1796875" style="297"/>
    <col min="8707" max="8707" width="32.54296875" style="297" customWidth="1"/>
    <col min="8708" max="8708" width="9.1796875" style="297"/>
    <col min="8709" max="8709" width="3.26953125" style="297" customWidth="1"/>
    <col min="8710" max="8710" width="9.1796875" style="297"/>
    <col min="8711" max="8711" width="10.1796875" style="297" customWidth="1"/>
    <col min="8712" max="8712" width="9.54296875" style="297" customWidth="1"/>
    <col min="8713" max="8715" width="0" style="297" hidden="1" customWidth="1"/>
    <col min="8716" max="8716" width="13.26953125" style="297" customWidth="1"/>
    <col min="8717" max="8717" width="50.453125" style="297" bestFit="1" customWidth="1"/>
    <col min="8718" max="8718" width="86" style="297" bestFit="1" customWidth="1"/>
    <col min="8719" max="8960" width="9.1796875" style="297"/>
    <col min="8961" max="8961" width="10.81640625" style="297" customWidth="1"/>
    <col min="8962" max="8962" width="9.1796875" style="297"/>
    <col min="8963" max="8963" width="32.54296875" style="297" customWidth="1"/>
    <col min="8964" max="8964" width="9.1796875" style="297"/>
    <col min="8965" max="8965" width="3.26953125" style="297" customWidth="1"/>
    <col min="8966" max="8966" width="9.1796875" style="297"/>
    <col min="8967" max="8967" width="10.1796875" style="297" customWidth="1"/>
    <col min="8968" max="8968" width="9.54296875" style="297" customWidth="1"/>
    <col min="8969" max="8971" width="0" style="297" hidden="1" customWidth="1"/>
    <col min="8972" max="8972" width="13.26953125" style="297" customWidth="1"/>
    <col min="8973" max="8973" width="50.453125" style="297" bestFit="1" customWidth="1"/>
    <col min="8974" max="8974" width="86" style="297" bestFit="1" customWidth="1"/>
    <col min="8975" max="9216" width="9.1796875" style="297"/>
    <col min="9217" max="9217" width="10.81640625" style="297" customWidth="1"/>
    <col min="9218" max="9218" width="9.1796875" style="297"/>
    <col min="9219" max="9219" width="32.54296875" style="297" customWidth="1"/>
    <col min="9220" max="9220" width="9.1796875" style="297"/>
    <col min="9221" max="9221" width="3.26953125" style="297" customWidth="1"/>
    <col min="9222" max="9222" width="9.1796875" style="297"/>
    <col min="9223" max="9223" width="10.1796875" style="297" customWidth="1"/>
    <col min="9224" max="9224" width="9.54296875" style="297" customWidth="1"/>
    <col min="9225" max="9227" width="0" style="297" hidden="1" customWidth="1"/>
    <col min="9228" max="9228" width="13.26953125" style="297" customWidth="1"/>
    <col min="9229" max="9229" width="50.453125" style="297" bestFit="1" customWidth="1"/>
    <col min="9230" max="9230" width="86" style="297" bestFit="1" customWidth="1"/>
    <col min="9231" max="9472" width="9.1796875" style="297"/>
    <col min="9473" max="9473" width="10.81640625" style="297" customWidth="1"/>
    <col min="9474" max="9474" width="9.1796875" style="297"/>
    <col min="9475" max="9475" width="32.54296875" style="297" customWidth="1"/>
    <col min="9476" max="9476" width="9.1796875" style="297"/>
    <col min="9477" max="9477" width="3.26953125" style="297" customWidth="1"/>
    <col min="9478" max="9478" width="9.1796875" style="297"/>
    <col min="9479" max="9479" width="10.1796875" style="297" customWidth="1"/>
    <col min="9480" max="9480" width="9.54296875" style="297" customWidth="1"/>
    <col min="9481" max="9483" width="0" style="297" hidden="1" customWidth="1"/>
    <col min="9484" max="9484" width="13.26953125" style="297" customWidth="1"/>
    <col min="9485" max="9485" width="50.453125" style="297" bestFit="1" customWidth="1"/>
    <col min="9486" max="9486" width="86" style="297" bestFit="1" customWidth="1"/>
    <col min="9487" max="9728" width="9.1796875" style="297"/>
    <col min="9729" max="9729" width="10.81640625" style="297" customWidth="1"/>
    <col min="9730" max="9730" width="9.1796875" style="297"/>
    <col min="9731" max="9731" width="32.54296875" style="297" customWidth="1"/>
    <col min="9732" max="9732" width="9.1796875" style="297"/>
    <col min="9733" max="9733" width="3.26953125" style="297" customWidth="1"/>
    <col min="9734" max="9734" width="9.1796875" style="297"/>
    <col min="9735" max="9735" width="10.1796875" style="297" customWidth="1"/>
    <col min="9736" max="9736" width="9.54296875" style="297" customWidth="1"/>
    <col min="9737" max="9739" width="0" style="297" hidden="1" customWidth="1"/>
    <col min="9740" max="9740" width="13.26953125" style="297" customWidth="1"/>
    <col min="9741" max="9741" width="50.453125" style="297" bestFit="1" customWidth="1"/>
    <col min="9742" max="9742" width="86" style="297" bestFit="1" customWidth="1"/>
    <col min="9743" max="9984" width="9.1796875" style="297"/>
    <col min="9985" max="9985" width="10.81640625" style="297" customWidth="1"/>
    <col min="9986" max="9986" width="9.1796875" style="297"/>
    <col min="9987" max="9987" width="32.54296875" style="297" customWidth="1"/>
    <col min="9988" max="9988" width="9.1796875" style="297"/>
    <col min="9989" max="9989" width="3.26953125" style="297" customWidth="1"/>
    <col min="9990" max="9990" width="9.1796875" style="297"/>
    <col min="9991" max="9991" width="10.1796875" style="297" customWidth="1"/>
    <col min="9992" max="9992" width="9.54296875" style="297" customWidth="1"/>
    <col min="9993" max="9995" width="0" style="297" hidden="1" customWidth="1"/>
    <col min="9996" max="9996" width="13.26953125" style="297" customWidth="1"/>
    <col min="9997" max="9997" width="50.453125" style="297" bestFit="1" customWidth="1"/>
    <col min="9998" max="9998" width="86" style="297" bestFit="1" customWidth="1"/>
    <col min="9999" max="10240" width="9.1796875" style="297"/>
    <col min="10241" max="10241" width="10.81640625" style="297" customWidth="1"/>
    <col min="10242" max="10242" width="9.1796875" style="297"/>
    <col min="10243" max="10243" width="32.54296875" style="297" customWidth="1"/>
    <col min="10244" max="10244" width="9.1796875" style="297"/>
    <col min="10245" max="10245" width="3.26953125" style="297" customWidth="1"/>
    <col min="10246" max="10246" width="9.1796875" style="297"/>
    <col min="10247" max="10247" width="10.1796875" style="297" customWidth="1"/>
    <col min="10248" max="10248" width="9.54296875" style="297" customWidth="1"/>
    <col min="10249" max="10251" width="0" style="297" hidden="1" customWidth="1"/>
    <col min="10252" max="10252" width="13.26953125" style="297" customWidth="1"/>
    <col min="10253" max="10253" width="50.453125" style="297" bestFit="1" customWidth="1"/>
    <col min="10254" max="10254" width="86" style="297" bestFit="1" customWidth="1"/>
    <col min="10255" max="10496" width="9.1796875" style="297"/>
    <col min="10497" max="10497" width="10.81640625" style="297" customWidth="1"/>
    <col min="10498" max="10498" width="9.1796875" style="297"/>
    <col min="10499" max="10499" width="32.54296875" style="297" customWidth="1"/>
    <col min="10500" max="10500" width="9.1796875" style="297"/>
    <col min="10501" max="10501" width="3.26953125" style="297" customWidth="1"/>
    <col min="10502" max="10502" width="9.1796875" style="297"/>
    <col min="10503" max="10503" width="10.1796875" style="297" customWidth="1"/>
    <col min="10504" max="10504" width="9.54296875" style="297" customWidth="1"/>
    <col min="10505" max="10507" width="0" style="297" hidden="1" customWidth="1"/>
    <col min="10508" max="10508" width="13.26953125" style="297" customWidth="1"/>
    <col min="10509" max="10509" width="50.453125" style="297" bestFit="1" customWidth="1"/>
    <col min="10510" max="10510" width="86" style="297" bestFit="1" customWidth="1"/>
    <col min="10511" max="10752" width="9.1796875" style="297"/>
    <col min="10753" max="10753" width="10.81640625" style="297" customWidth="1"/>
    <col min="10754" max="10754" width="9.1796875" style="297"/>
    <col min="10755" max="10755" width="32.54296875" style="297" customWidth="1"/>
    <col min="10756" max="10756" width="9.1796875" style="297"/>
    <col min="10757" max="10757" width="3.26953125" style="297" customWidth="1"/>
    <col min="10758" max="10758" width="9.1796875" style="297"/>
    <col min="10759" max="10759" width="10.1796875" style="297" customWidth="1"/>
    <col min="10760" max="10760" width="9.54296875" style="297" customWidth="1"/>
    <col min="10761" max="10763" width="0" style="297" hidden="1" customWidth="1"/>
    <col min="10764" max="10764" width="13.26953125" style="297" customWidth="1"/>
    <col min="10765" max="10765" width="50.453125" style="297" bestFit="1" customWidth="1"/>
    <col min="10766" max="10766" width="86" style="297" bestFit="1" customWidth="1"/>
    <col min="10767" max="11008" width="9.1796875" style="297"/>
    <col min="11009" max="11009" width="10.81640625" style="297" customWidth="1"/>
    <col min="11010" max="11010" width="9.1796875" style="297"/>
    <col min="11011" max="11011" width="32.54296875" style="297" customWidth="1"/>
    <col min="11012" max="11012" width="9.1796875" style="297"/>
    <col min="11013" max="11013" width="3.26953125" style="297" customWidth="1"/>
    <col min="11014" max="11014" width="9.1796875" style="297"/>
    <col min="11015" max="11015" width="10.1796875" style="297" customWidth="1"/>
    <col min="11016" max="11016" width="9.54296875" style="297" customWidth="1"/>
    <col min="11017" max="11019" width="0" style="297" hidden="1" customWidth="1"/>
    <col min="11020" max="11020" width="13.26953125" style="297" customWidth="1"/>
    <col min="11021" max="11021" width="50.453125" style="297" bestFit="1" customWidth="1"/>
    <col min="11022" max="11022" width="86" style="297" bestFit="1" customWidth="1"/>
    <col min="11023" max="11264" width="9.1796875" style="297"/>
    <col min="11265" max="11265" width="10.81640625" style="297" customWidth="1"/>
    <col min="11266" max="11266" width="9.1796875" style="297"/>
    <col min="11267" max="11267" width="32.54296875" style="297" customWidth="1"/>
    <col min="11268" max="11268" width="9.1796875" style="297"/>
    <col min="11269" max="11269" width="3.26953125" style="297" customWidth="1"/>
    <col min="11270" max="11270" width="9.1796875" style="297"/>
    <col min="11271" max="11271" width="10.1796875" style="297" customWidth="1"/>
    <col min="11272" max="11272" width="9.54296875" style="297" customWidth="1"/>
    <col min="11273" max="11275" width="0" style="297" hidden="1" customWidth="1"/>
    <col min="11276" max="11276" width="13.26953125" style="297" customWidth="1"/>
    <col min="11277" max="11277" width="50.453125" style="297" bestFit="1" customWidth="1"/>
    <col min="11278" max="11278" width="86" style="297" bestFit="1" customWidth="1"/>
    <col min="11279" max="11520" width="9.1796875" style="297"/>
    <col min="11521" max="11521" width="10.81640625" style="297" customWidth="1"/>
    <col min="11522" max="11522" width="9.1796875" style="297"/>
    <col min="11523" max="11523" width="32.54296875" style="297" customWidth="1"/>
    <col min="11524" max="11524" width="9.1796875" style="297"/>
    <col min="11525" max="11525" width="3.26953125" style="297" customWidth="1"/>
    <col min="11526" max="11526" width="9.1796875" style="297"/>
    <col min="11527" max="11527" width="10.1796875" style="297" customWidth="1"/>
    <col min="11528" max="11528" width="9.54296875" style="297" customWidth="1"/>
    <col min="11529" max="11531" width="0" style="297" hidden="1" customWidth="1"/>
    <col min="11532" max="11532" width="13.26953125" style="297" customWidth="1"/>
    <col min="11533" max="11533" width="50.453125" style="297" bestFit="1" customWidth="1"/>
    <col min="11534" max="11534" width="86" style="297" bestFit="1" customWidth="1"/>
    <col min="11535" max="11776" width="9.1796875" style="297"/>
    <col min="11777" max="11777" width="10.81640625" style="297" customWidth="1"/>
    <col min="11778" max="11778" width="9.1796875" style="297"/>
    <col min="11779" max="11779" width="32.54296875" style="297" customWidth="1"/>
    <col min="11780" max="11780" width="9.1796875" style="297"/>
    <col min="11781" max="11781" width="3.26953125" style="297" customWidth="1"/>
    <col min="11782" max="11782" width="9.1796875" style="297"/>
    <col min="11783" max="11783" width="10.1796875" style="297" customWidth="1"/>
    <col min="11784" max="11784" width="9.54296875" style="297" customWidth="1"/>
    <col min="11785" max="11787" width="0" style="297" hidden="1" customWidth="1"/>
    <col min="11788" max="11788" width="13.26953125" style="297" customWidth="1"/>
    <col min="11789" max="11789" width="50.453125" style="297" bestFit="1" customWidth="1"/>
    <col min="11790" max="11790" width="86" style="297" bestFit="1" customWidth="1"/>
    <col min="11791" max="12032" width="9.1796875" style="297"/>
    <col min="12033" max="12033" width="10.81640625" style="297" customWidth="1"/>
    <col min="12034" max="12034" width="9.1796875" style="297"/>
    <col min="12035" max="12035" width="32.54296875" style="297" customWidth="1"/>
    <col min="12036" max="12036" width="9.1796875" style="297"/>
    <col min="12037" max="12037" width="3.26953125" style="297" customWidth="1"/>
    <col min="12038" max="12038" width="9.1796875" style="297"/>
    <col min="12039" max="12039" width="10.1796875" style="297" customWidth="1"/>
    <col min="12040" max="12040" width="9.54296875" style="297" customWidth="1"/>
    <col min="12041" max="12043" width="0" style="297" hidden="1" customWidth="1"/>
    <col min="12044" max="12044" width="13.26953125" style="297" customWidth="1"/>
    <col min="12045" max="12045" width="50.453125" style="297" bestFit="1" customWidth="1"/>
    <col min="12046" max="12046" width="86" style="297" bestFit="1" customWidth="1"/>
    <col min="12047" max="12288" width="9.1796875" style="297"/>
    <col min="12289" max="12289" width="10.81640625" style="297" customWidth="1"/>
    <col min="12290" max="12290" width="9.1796875" style="297"/>
    <col min="12291" max="12291" width="32.54296875" style="297" customWidth="1"/>
    <col min="12292" max="12292" width="9.1796875" style="297"/>
    <col min="12293" max="12293" width="3.26953125" style="297" customWidth="1"/>
    <col min="12294" max="12294" width="9.1796875" style="297"/>
    <col min="12295" max="12295" width="10.1796875" style="297" customWidth="1"/>
    <col min="12296" max="12296" width="9.54296875" style="297" customWidth="1"/>
    <col min="12297" max="12299" width="0" style="297" hidden="1" customWidth="1"/>
    <col min="12300" max="12300" width="13.26953125" style="297" customWidth="1"/>
    <col min="12301" max="12301" width="50.453125" style="297" bestFit="1" customWidth="1"/>
    <col min="12302" max="12302" width="86" style="297" bestFit="1" customWidth="1"/>
    <col min="12303" max="12544" width="9.1796875" style="297"/>
    <col min="12545" max="12545" width="10.81640625" style="297" customWidth="1"/>
    <col min="12546" max="12546" width="9.1796875" style="297"/>
    <col min="12547" max="12547" width="32.54296875" style="297" customWidth="1"/>
    <col min="12548" max="12548" width="9.1796875" style="297"/>
    <col min="12549" max="12549" width="3.26953125" style="297" customWidth="1"/>
    <col min="12550" max="12550" width="9.1796875" style="297"/>
    <col min="12551" max="12551" width="10.1796875" style="297" customWidth="1"/>
    <col min="12552" max="12552" width="9.54296875" style="297" customWidth="1"/>
    <col min="12553" max="12555" width="0" style="297" hidden="1" customWidth="1"/>
    <col min="12556" max="12556" width="13.26953125" style="297" customWidth="1"/>
    <col min="12557" max="12557" width="50.453125" style="297" bestFit="1" customWidth="1"/>
    <col min="12558" max="12558" width="86" style="297" bestFit="1" customWidth="1"/>
    <col min="12559" max="12800" width="9.1796875" style="297"/>
    <col min="12801" max="12801" width="10.81640625" style="297" customWidth="1"/>
    <col min="12802" max="12802" width="9.1796875" style="297"/>
    <col min="12803" max="12803" width="32.54296875" style="297" customWidth="1"/>
    <col min="12804" max="12804" width="9.1796875" style="297"/>
    <col min="12805" max="12805" width="3.26953125" style="297" customWidth="1"/>
    <col min="12806" max="12806" width="9.1796875" style="297"/>
    <col min="12807" max="12807" width="10.1796875" style="297" customWidth="1"/>
    <col min="12808" max="12808" width="9.54296875" style="297" customWidth="1"/>
    <col min="12809" max="12811" width="0" style="297" hidden="1" customWidth="1"/>
    <col min="12812" max="12812" width="13.26953125" style="297" customWidth="1"/>
    <col min="12813" max="12813" width="50.453125" style="297" bestFit="1" customWidth="1"/>
    <col min="12814" max="12814" width="86" style="297" bestFit="1" customWidth="1"/>
    <col min="12815" max="13056" width="9.1796875" style="297"/>
    <col min="13057" max="13057" width="10.81640625" style="297" customWidth="1"/>
    <col min="13058" max="13058" width="9.1796875" style="297"/>
    <col min="13059" max="13059" width="32.54296875" style="297" customWidth="1"/>
    <col min="13060" max="13060" width="9.1796875" style="297"/>
    <col min="13061" max="13061" width="3.26953125" style="297" customWidth="1"/>
    <col min="13062" max="13062" width="9.1796875" style="297"/>
    <col min="13063" max="13063" width="10.1796875" style="297" customWidth="1"/>
    <col min="13064" max="13064" width="9.54296875" style="297" customWidth="1"/>
    <col min="13065" max="13067" width="0" style="297" hidden="1" customWidth="1"/>
    <col min="13068" max="13068" width="13.26953125" style="297" customWidth="1"/>
    <col min="13069" max="13069" width="50.453125" style="297" bestFit="1" customWidth="1"/>
    <col min="13070" max="13070" width="86" style="297" bestFit="1" customWidth="1"/>
    <col min="13071" max="13312" width="9.1796875" style="297"/>
    <col min="13313" max="13313" width="10.81640625" style="297" customWidth="1"/>
    <col min="13314" max="13314" width="9.1796875" style="297"/>
    <col min="13315" max="13315" width="32.54296875" style="297" customWidth="1"/>
    <col min="13316" max="13316" width="9.1796875" style="297"/>
    <col min="13317" max="13317" width="3.26953125" style="297" customWidth="1"/>
    <col min="13318" max="13318" width="9.1796875" style="297"/>
    <col min="13319" max="13319" width="10.1796875" style="297" customWidth="1"/>
    <col min="13320" max="13320" width="9.54296875" style="297" customWidth="1"/>
    <col min="13321" max="13323" width="0" style="297" hidden="1" customWidth="1"/>
    <col min="13324" max="13324" width="13.26953125" style="297" customWidth="1"/>
    <col min="13325" max="13325" width="50.453125" style="297" bestFit="1" customWidth="1"/>
    <col min="13326" max="13326" width="86" style="297" bestFit="1" customWidth="1"/>
    <col min="13327" max="13568" width="9.1796875" style="297"/>
    <col min="13569" max="13569" width="10.81640625" style="297" customWidth="1"/>
    <col min="13570" max="13570" width="9.1796875" style="297"/>
    <col min="13571" max="13571" width="32.54296875" style="297" customWidth="1"/>
    <col min="13572" max="13572" width="9.1796875" style="297"/>
    <col min="13573" max="13573" width="3.26953125" style="297" customWidth="1"/>
    <col min="13574" max="13574" width="9.1796875" style="297"/>
    <col min="13575" max="13575" width="10.1796875" style="297" customWidth="1"/>
    <col min="13576" max="13576" width="9.54296875" style="297" customWidth="1"/>
    <col min="13577" max="13579" width="0" style="297" hidden="1" customWidth="1"/>
    <col min="13580" max="13580" width="13.26953125" style="297" customWidth="1"/>
    <col min="13581" max="13581" width="50.453125" style="297" bestFit="1" customWidth="1"/>
    <col min="13582" max="13582" width="86" style="297" bestFit="1" customWidth="1"/>
    <col min="13583" max="13824" width="9.1796875" style="297"/>
    <col min="13825" max="13825" width="10.81640625" style="297" customWidth="1"/>
    <col min="13826" max="13826" width="9.1796875" style="297"/>
    <col min="13827" max="13827" width="32.54296875" style="297" customWidth="1"/>
    <col min="13828" max="13828" width="9.1796875" style="297"/>
    <col min="13829" max="13829" width="3.26953125" style="297" customWidth="1"/>
    <col min="13830" max="13830" width="9.1796875" style="297"/>
    <col min="13831" max="13831" width="10.1796875" style="297" customWidth="1"/>
    <col min="13832" max="13832" width="9.54296875" style="297" customWidth="1"/>
    <col min="13833" max="13835" width="0" style="297" hidden="1" customWidth="1"/>
    <col min="13836" max="13836" width="13.26953125" style="297" customWidth="1"/>
    <col min="13837" max="13837" width="50.453125" style="297" bestFit="1" customWidth="1"/>
    <col min="13838" max="13838" width="86" style="297" bestFit="1" customWidth="1"/>
    <col min="13839" max="14080" width="9.1796875" style="297"/>
    <col min="14081" max="14081" width="10.81640625" style="297" customWidth="1"/>
    <col min="14082" max="14082" width="9.1796875" style="297"/>
    <col min="14083" max="14083" width="32.54296875" style="297" customWidth="1"/>
    <col min="14084" max="14084" width="9.1796875" style="297"/>
    <col min="14085" max="14085" width="3.26953125" style="297" customWidth="1"/>
    <col min="14086" max="14086" width="9.1796875" style="297"/>
    <col min="14087" max="14087" width="10.1796875" style="297" customWidth="1"/>
    <col min="14088" max="14088" width="9.54296875" style="297" customWidth="1"/>
    <col min="14089" max="14091" width="0" style="297" hidden="1" customWidth="1"/>
    <col min="14092" max="14092" width="13.26953125" style="297" customWidth="1"/>
    <col min="14093" max="14093" width="50.453125" style="297" bestFit="1" customWidth="1"/>
    <col min="14094" max="14094" width="86" style="297" bestFit="1" customWidth="1"/>
    <col min="14095" max="14336" width="9.1796875" style="297"/>
    <col min="14337" max="14337" width="10.81640625" style="297" customWidth="1"/>
    <col min="14338" max="14338" width="9.1796875" style="297"/>
    <col min="14339" max="14339" width="32.54296875" style="297" customWidth="1"/>
    <col min="14340" max="14340" width="9.1796875" style="297"/>
    <col min="14341" max="14341" width="3.26953125" style="297" customWidth="1"/>
    <col min="14342" max="14342" width="9.1796875" style="297"/>
    <col min="14343" max="14343" width="10.1796875" style="297" customWidth="1"/>
    <col min="14344" max="14344" width="9.54296875" style="297" customWidth="1"/>
    <col min="14345" max="14347" width="0" style="297" hidden="1" customWidth="1"/>
    <col min="14348" max="14348" width="13.26953125" style="297" customWidth="1"/>
    <col min="14349" max="14349" width="50.453125" style="297" bestFit="1" customWidth="1"/>
    <col min="14350" max="14350" width="86" style="297" bestFit="1" customWidth="1"/>
    <col min="14351" max="14592" width="9.1796875" style="297"/>
    <col min="14593" max="14593" width="10.81640625" style="297" customWidth="1"/>
    <col min="14594" max="14594" width="9.1796875" style="297"/>
    <col min="14595" max="14595" width="32.54296875" style="297" customWidth="1"/>
    <col min="14596" max="14596" width="9.1796875" style="297"/>
    <col min="14597" max="14597" width="3.26953125" style="297" customWidth="1"/>
    <col min="14598" max="14598" width="9.1796875" style="297"/>
    <col min="14599" max="14599" width="10.1796875" style="297" customWidth="1"/>
    <col min="14600" max="14600" width="9.54296875" style="297" customWidth="1"/>
    <col min="14601" max="14603" width="0" style="297" hidden="1" customWidth="1"/>
    <col min="14604" max="14604" width="13.26953125" style="297" customWidth="1"/>
    <col min="14605" max="14605" width="50.453125" style="297" bestFit="1" customWidth="1"/>
    <col min="14606" max="14606" width="86" style="297" bestFit="1" customWidth="1"/>
    <col min="14607" max="14848" width="9.1796875" style="297"/>
    <col min="14849" max="14849" width="10.81640625" style="297" customWidth="1"/>
    <col min="14850" max="14850" width="9.1796875" style="297"/>
    <col min="14851" max="14851" width="32.54296875" style="297" customWidth="1"/>
    <col min="14852" max="14852" width="9.1796875" style="297"/>
    <col min="14853" max="14853" width="3.26953125" style="297" customWidth="1"/>
    <col min="14854" max="14854" width="9.1796875" style="297"/>
    <col min="14855" max="14855" width="10.1796875" style="297" customWidth="1"/>
    <col min="14856" max="14856" width="9.54296875" style="297" customWidth="1"/>
    <col min="14857" max="14859" width="0" style="297" hidden="1" customWidth="1"/>
    <col min="14860" max="14860" width="13.26953125" style="297" customWidth="1"/>
    <col min="14861" max="14861" width="50.453125" style="297" bestFit="1" customWidth="1"/>
    <col min="14862" max="14862" width="86" style="297" bestFit="1" customWidth="1"/>
    <col min="14863" max="15104" width="9.1796875" style="297"/>
    <col min="15105" max="15105" width="10.81640625" style="297" customWidth="1"/>
    <col min="15106" max="15106" width="9.1796875" style="297"/>
    <col min="15107" max="15107" width="32.54296875" style="297" customWidth="1"/>
    <col min="15108" max="15108" width="9.1796875" style="297"/>
    <col min="15109" max="15109" width="3.26953125" style="297" customWidth="1"/>
    <col min="15110" max="15110" width="9.1796875" style="297"/>
    <col min="15111" max="15111" width="10.1796875" style="297" customWidth="1"/>
    <col min="15112" max="15112" width="9.54296875" style="297" customWidth="1"/>
    <col min="15113" max="15115" width="0" style="297" hidden="1" customWidth="1"/>
    <col min="15116" max="15116" width="13.26953125" style="297" customWidth="1"/>
    <col min="15117" max="15117" width="50.453125" style="297" bestFit="1" customWidth="1"/>
    <col min="15118" max="15118" width="86" style="297" bestFit="1" customWidth="1"/>
    <col min="15119" max="15360" width="9.1796875" style="297"/>
    <col min="15361" max="15361" width="10.81640625" style="297" customWidth="1"/>
    <col min="15362" max="15362" width="9.1796875" style="297"/>
    <col min="15363" max="15363" width="32.54296875" style="297" customWidth="1"/>
    <col min="15364" max="15364" width="9.1796875" style="297"/>
    <col min="15365" max="15365" width="3.26953125" style="297" customWidth="1"/>
    <col min="15366" max="15366" width="9.1796875" style="297"/>
    <col min="15367" max="15367" width="10.1796875" style="297" customWidth="1"/>
    <col min="15368" max="15368" width="9.54296875" style="297" customWidth="1"/>
    <col min="15369" max="15371" width="0" style="297" hidden="1" customWidth="1"/>
    <col min="15372" max="15372" width="13.26953125" style="297" customWidth="1"/>
    <col min="15373" max="15373" width="50.453125" style="297" bestFit="1" customWidth="1"/>
    <col min="15374" max="15374" width="86" style="297" bestFit="1" customWidth="1"/>
    <col min="15375" max="15616" width="9.1796875" style="297"/>
    <col min="15617" max="15617" width="10.81640625" style="297" customWidth="1"/>
    <col min="15618" max="15618" width="9.1796875" style="297"/>
    <col min="15619" max="15619" width="32.54296875" style="297" customWidth="1"/>
    <col min="15620" max="15620" width="9.1796875" style="297"/>
    <col min="15621" max="15621" width="3.26953125" style="297" customWidth="1"/>
    <col min="15622" max="15622" width="9.1796875" style="297"/>
    <col min="15623" max="15623" width="10.1796875" style="297" customWidth="1"/>
    <col min="15624" max="15624" width="9.54296875" style="297" customWidth="1"/>
    <col min="15625" max="15627" width="0" style="297" hidden="1" customWidth="1"/>
    <col min="15628" max="15628" width="13.26953125" style="297" customWidth="1"/>
    <col min="15629" max="15629" width="50.453125" style="297" bestFit="1" customWidth="1"/>
    <col min="15630" max="15630" width="86" style="297" bestFit="1" customWidth="1"/>
    <col min="15631" max="15872" width="9.1796875" style="297"/>
    <col min="15873" max="15873" width="10.81640625" style="297" customWidth="1"/>
    <col min="15874" max="15874" width="9.1796875" style="297"/>
    <col min="15875" max="15875" width="32.54296875" style="297" customWidth="1"/>
    <col min="15876" max="15876" width="9.1796875" style="297"/>
    <col min="15877" max="15877" width="3.26953125" style="297" customWidth="1"/>
    <col min="15878" max="15878" width="9.1796875" style="297"/>
    <col min="15879" max="15879" width="10.1796875" style="297" customWidth="1"/>
    <col min="15880" max="15880" width="9.54296875" style="297" customWidth="1"/>
    <col min="15881" max="15883" width="0" style="297" hidden="1" customWidth="1"/>
    <col min="15884" max="15884" width="13.26953125" style="297" customWidth="1"/>
    <col min="15885" max="15885" width="50.453125" style="297" bestFit="1" customWidth="1"/>
    <col min="15886" max="15886" width="86" style="297" bestFit="1" customWidth="1"/>
    <col min="15887" max="16128" width="9.1796875" style="297"/>
    <col min="16129" max="16129" width="10.81640625" style="297" customWidth="1"/>
    <col min="16130" max="16130" width="9.1796875" style="297"/>
    <col min="16131" max="16131" width="32.54296875" style="297" customWidth="1"/>
    <col min="16132" max="16132" width="9.1796875" style="297"/>
    <col min="16133" max="16133" width="3.26953125" style="297" customWidth="1"/>
    <col min="16134" max="16134" width="9.1796875" style="297"/>
    <col min="16135" max="16135" width="10.1796875" style="297" customWidth="1"/>
    <col min="16136" max="16136" width="9.54296875" style="297" customWidth="1"/>
    <col min="16137" max="16139" width="0" style="297" hidden="1" customWidth="1"/>
    <col min="16140" max="16140" width="13.26953125" style="297" customWidth="1"/>
    <col min="16141" max="16141" width="50.453125" style="297" bestFit="1" customWidth="1"/>
    <col min="16142" max="16142" width="86" style="297" bestFit="1" customWidth="1"/>
    <col min="16143" max="16384" width="9.1796875" style="297"/>
  </cols>
  <sheetData>
    <row r="1" spans="1:14" ht="18" x14ac:dyDescent="0.3">
      <c r="A1" s="293" t="s">
        <v>194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5"/>
    </row>
    <row r="2" spans="1:14" ht="15.5" x14ac:dyDescent="0.3">
      <c r="A2" s="298" t="s">
        <v>195</v>
      </c>
      <c r="B2" s="299"/>
      <c r="C2" s="300" t="s">
        <v>196</v>
      </c>
      <c r="D2" s="299"/>
      <c r="E2" s="299"/>
      <c r="F2" s="299"/>
      <c r="G2" s="299"/>
      <c r="H2" s="299"/>
      <c r="I2" s="299"/>
      <c r="J2" s="299"/>
      <c r="K2" s="299"/>
      <c r="L2" s="295"/>
    </row>
    <row r="3" spans="1:14" ht="14.25" customHeight="1" x14ac:dyDescent="0.3">
      <c r="A3" s="298" t="s">
        <v>197</v>
      </c>
      <c r="C3" s="301"/>
      <c r="L3" s="295"/>
    </row>
    <row r="4" spans="1:14" x14ac:dyDescent="0.3">
      <c r="A4" s="302" t="s">
        <v>198</v>
      </c>
    </row>
    <row r="5" spans="1:14" ht="83.25" customHeight="1" x14ac:dyDescent="0.3">
      <c r="A5" s="303" t="s">
        <v>199</v>
      </c>
      <c r="B5" s="304"/>
      <c r="C5" s="304"/>
      <c r="D5" s="304"/>
      <c r="E5" s="304"/>
      <c r="F5" s="304"/>
      <c r="G5" s="304"/>
      <c r="H5" s="304"/>
    </row>
    <row r="6" spans="1:14" x14ac:dyDescent="0.3">
      <c r="A6" s="305"/>
    </row>
    <row r="7" spans="1:14" x14ac:dyDescent="0.3">
      <c r="A7" s="305"/>
      <c r="D7" s="306"/>
      <c r="F7" s="306"/>
      <c r="N7" s="307"/>
    </row>
    <row r="8" spans="1:14" ht="28" x14ac:dyDescent="0.3">
      <c r="D8" s="308" t="s">
        <v>200</v>
      </c>
      <c r="E8" s="307"/>
      <c r="F8" s="308" t="s">
        <v>201</v>
      </c>
      <c r="G8" s="308" t="s">
        <v>202</v>
      </c>
      <c r="H8" s="308" t="s">
        <v>202</v>
      </c>
      <c r="I8" s="308"/>
      <c r="J8" s="308"/>
      <c r="K8" s="308"/>
      <c r="L8" s="309" t="s">
        <v>203</v>
      </c>
      <c r="M8" s="310" t="s">
        <v>204</v>
      </c>
      <c r="N8" s="311" t="s">
        <v>205</v>
      </c>
    </row>
    <row r="9" spans="1:14" x14ac:dyDescent="0.3">
      <c r="D9" s="308" t="s">
        <v>206</v>
      </c>
      <c r="E9" s="307"/>
      <c r="F9" s="308" t="s">
        <v>206</v>
      </c>
      <c r="G9" s="308" t="s">
        <v>206</v>
      </c>
      <c r="H9" s="308" t="s">
        <v>207</v>
      </c>
      <c r="I9" s="308"/>
      <c r="J9" s="308"/>
      <c r="K9" s="307"/>
      <c r="L9" s="307"/>
      <c r="N9" s="296"/>
    </row>
    <row r="10" spans="1:14" ht="14.5" thickBot="1" x14ac:dyDescent="0.35">
      <c r="D10" s="306"/>
      <c r="E10" s="306"/>
      <c r="N10" s="296"/>
    </row>
    <row r="11" spans="1:14" ht="44.25" customHeight="1" thickBot="1" x14ac:dyDescent="0.35">
      <c r="A11" s="294" t="s">
        <v>208</v>
      </c>
      <c r="B11" s="294"/>
      <c r="C11" s="294"/>
      <c r="D11" s="312">
        <v>50451</v>
      </c>
      <c r="F11" s="312">
        <f>'[1]Ledger Receipts'!M7</f>
        <v>48805.07</v>
      </c>
      <c r="G11" s="313">
        <f t="shared" ref="G11" si="0">F11-D11</f>
        <v>-1645.9300000000003</v>
      </c>
      <c r="H11" s="314">
        <f t="shared" ref="H11" si="1">IF((D11&gt;F11),(D11-F11)/D11,IF(D11&lt;F11,-(D11-F11)/D11,IF(D11=F11,0)))</f>
        <v>3.2624328556421091E-2</v>
      </c>
      <c r="I11" s="297">
        <f t="shared" ref="I11:I12" si="2">IF(D11-F11&lt;200,0,IF(D11-F11&gt;200,1,IF(D11-F11=200,1)))</f>
        <v>1</v>
      </c>
      <c r="J11" s="297">
        <f t="shared" ref="J11:J12" si="3">IF(F11-D11&lt;200,0,IF(F11-D11&gt;200,1,IF(F11-D11=200,1)))</f>
        <v>0</v>
      </c>
      <c r="K11" s="306">
        <f t="shared" ref="K11:K12" si="4">IF(H11&lt;0.15,0,IF(H11&gt;0.15,1,IF(H11=0.15,1)))</f>
        <v>0</v>
      </c>
      <c r="L11" s="306" t="str">
        <f t="shared" ref="L11" si="5">IF(H11&lt;15%, "NO","YES")</f>
        <v>NO</v>
      </c>
      <c r="M11" s="3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does not agree, query this</v>
      </c>
      <c r="N11" s="315"/>
    </row>
    <row r="12" spans="1:14" ht="14.5" thickBot="1" x14ac:dyDescent="0.35">
      <c r="D12" s="313"/>
      <c r="F12" s="313"/>
      <c r="G12" s="313"/>
      <c r="H12" s="314"/>
      <c r="I12" s="297">
        <f t="shared" si="2"/>
        <v>0</v>
      </c>
      <c r="J12" s="297">
        <f t="shared" si="3"/>
        <v>0</v>
      </c>
      <c r="K12" s="306">
        <f t="shared" si="4"/>
        <v>0</v>
      </c>
      <c r="L12" s="306"/>
      <c r="N12" s="296"/>
    </row>
    <row r="13" spans="1:14" ht="31.5" customHeight="1" thickBot="1" x14ac:dyDescent="0.35">
      <c r="A13" s="316" t="s">
        <v>209</v>
      </c>
      <c r="B13" s="317"/>
      <c r="C13" s="318"/>
      <c r="D13" s="312">
        <v>24961</v>
      </c>
      <c r="F13" s="312">
        <f>'[1]Ledger Receipts'!D21</f>
        <v>25471</v>
      </c>
      <c r="G13" s="313">
        <f>F13-D13</f>
        <v>510</v>
      </c>
      <c r="H13" s="314">
        <f>IF((D13&gt;F13),(D13-F13)/D13,IF(D13&lt;F13,-(D13-F13)/D13,IF(D13=F13,0)))</f>
        <v>2.0431873723007893E-2</v>
      </c>
      <c r="I13" s="297">
        <f>IF(D13-F13&lt;200,0,IF(D13-F13&gt;200,1,IF(D13-F13=200,1)))</f>
        <v>0</v>
      </c>
      <c r="J13" s="297">
        <f>IF(F13-D13&lt;200,0,IF(F13-D13&gt;200,1,IF(F13-D13=200,1)))</f>
        <v>1</v>
      </c>
      <c r="K13" s="306">
        <f>IF(H13&lt;0.15,0,IF(H13&gt;0.15,1,IF(H13=0.15,1)))</f>
        <v>0</v>
      </c>
      <c r="L13" s="306" t="str">
        <f>IF(H13&lt;15%, "NO","YES")</f>
        <v>NO</v>
      </c>
      <c r="M13" s="310" t="str">
        <f>IF((L13="YES")*AND(I13+J13&lt;1),"Explanation not required, difference less than £200"," ")</f>
        <v xml:space="preserve"> </v>
      </c>
      <c r="N13" s="315"/>
    </row>
    <row r="14" spans="1:14" ht="14.5" thickBot="1" x14ac:dyDescent="0.35">
      <c r="D14" s="313"/>
      <c r="F14" s="313"/>
      <c r="G14" s="313"/>
      <c r="H14" s="314"/>
      <c r="K14" s="306"/>
      <c r="L14" s="306"/>
      <c r="N14" s="296"/>
    </row>
    <row r="15" spans="1:14" ht="70.5" customHeight="1" thickBot="1" x14ac:dyDescent="0.35">
      <c r="A15" s="319" t="s">
        <v>210</v>
      </c>
      <c r="B15" s="319"/>
      <c r="C15" s="319"/>
      <c r="D15" s="312">
        <v>8549</v>
      </c>
      <c r="F15" s="312">
        <f>'[1]Ledger Receipts'!E123+'[1]Ledger Receipts'!F123+'[1]Ledger Receipts'!G123</f>
        <v>30674.53</v>
      </c>
      <c r="G15" s="313">
        <f>F15-D15</f>
        <v>22125.53</v>
      </c>
      <c r="H15" s="314">
        <f>IF((D15&gt;F15),(D15-F15)/D15,IF(D15&lt;F15,-(D15-F15)/D15,IF(D15=F15,0)))</f>
        <v>2.5880839864311613</v>
      </c>
      <c r="I15" s="297">
        <f>IF(D15-F15&lt;200,0,IF(D15-F15&gt;200,1,IF(D15-F15=200,1)))</f>
        <v>0</v>
      </c>
      <c r="J15" s="297">
        <f>IF(F15-D15&lt;200,0,IF(F15-D15&gt;200,1,IF(F15-D15=200,1)))</f>
        <v>1</v>
      </c>
      <c r="K15" s="306">
        <f>IF(H15&lt;0.15,0,IF(H15&gt;0.15,1,IF(H15=0.15,1)))</f>
        <v>1</v>
      </c>
      <c r="L15" s="306" t="str">
        <f>IF(H15&lt;15%, "NO","YES")</f>
        <v>YES</v>
      </c>
      <c r="M15" s="320" t="s">
        <v>211</v>
      </c>
      <c r="N15" s="321"/>
    </row>
    <row r="16" spans="1:14" ht="14.5" thickBot="1" x14ac:dyDescent="0.35">
      <c r="D16" s="313"/>
      <c r="F16" s="313"/>
      <c r="G16" s="313"/>
      <c r="H16" s="314"/>
      <c r="K16" s="306"/>
      <c r="L16" s="306"/>
      <c r="M16" s="320"/>
      <c r="N16" s="296"/>
    </row>
    <row r="17" spans="1:14" ht="28.5" customHeight="1" thickBot="1" x14ac:dyDescent="0.35">
      <c r="A17" s="319" t="s">
        <v>212</v>
      </c>
      <c r="B17" s="319"/>
      <c r="C17" s="319"/>
      <c r="D17" s="312">
        <v>8760</v>
      </c>
      <c r="F17" s="312">
        <f>'[1]Cash book'!L163</f>
        <v>9165.84</v>
      </c>
      <c r="G17" s="313">
        <f>F17-D17</f>
        <v>405.84000000000015</v>
      </c>
      <c r="H17" s="314">
        <f>IF((D17&gt;F17),(D17-F17)/D17,IF(D17&lt;F17,-(D17-F17)/D17,IF(D17=F17,0)))</f>
        <v>4.6328767123287685E-2</v>
      </c>
      <c r="I17" s="297">
        <f>IF(D17-F17&lt;200,0,IF(D17-F17&gt;200,1,IF(D17-F17=200,1)))</f>
        <v>0</v>
      </c>
      <c r="J17" s="297">
        <f>IF(F17-D17&lt;200,0,IF(F17-D17&gt;200,1,IF(F17-D17=200,1)))</f>
        <v>1</v>
      </c>
      <c r="K17" s="306">
        <f>IF(H17&lt;0.15,0,IF(H17&gt;0.15,1,IF(H17=0.15,1)))</f>
        <v>0</v>
      </c>
      <c r="L17" s="306" t="str">
        <f>IF(H17&lt;15%, "NO","YES")</f>
        <v>NO</v>
      </c>
      <c r="M17" s="320"/>
      <c r="N17" s="315"/>
    </row>
    <row r="18" spans="1:14" ht="14.5" thickBot="1" x14ac:dyDescent="0.35">
      <c r="D18" s="313"/>
      <c r="F18" s="313"/>
      <c r="G18" s="313"/>
      <c r="H18" s="314"/>
      <c r="K18" s="306"/>
      <c r="L18" s="306"/>
      <c r="M18" s="320"/>
      <c r="N18" s="296"/>
    </row>
    <row r="19" spans="1:14" ht="20.149999999999999" customHeight="1" thickBot="1" x14ac:dyDescent="0.35">
      <c r="A19" s="319" t="s">
        <v>213</v>
      </c>
      <c r="B19" s="319"/>
      <c r="C19" s="319"/>
      <c r="D19" s="312">
        <v>0</v>
      </c>
      <c r="F19" s="312">
        <v>0</v>
      </c>
      <c r="G19" s="313">
        <f>F19-D19</f>
        <v>0</v>
      </c>
      <c r="H19" s="314">
        <f>IF((D19&gt;F19),(D19-F19)/D19,IF(D19&lt;F19,-(D19-F19)/D19,IF(D19=F19,0)))</f>
        <v>0</v>
      </c>
      <c r="I19" s="297">
        <f>IF(D19-F19&lt;200,0,IF(D19-F19&gt;200,1,IF(D19-F19=200,1)))</f>
        <v>0</v>
      </c>
      <c r="J19" s="297">
        <f>IF(F19-D19&lt;200,0,IF(F19-D19&gt;200,1,IF(F19-D19=200,1)))</f>
        <v>0</v>
      </c>
      <c r="K19" s="306">
        <f>IF(H19&lt;0.15,0,IF(H19&gt;0.15,1,IF(H19=0.15,1)))</f>
        <v>0</v>
      </c>
      <c r="L19" s="306" t="str">
        <f>IF(H19&lt;15%, "NO","YES")</f>
        <v>NO</v>
      </c>
      <c r="M19" s="320"/>
      <c r="N19" s="315"/>
    </row>
    <row r="20" spans="1:14" ht="14.5" thickBot="1" x14ac:dyDescent="0.35">
      <c r="D20" s="313"/>
      <c r="F20" s="313"/>
      <c r="G20" s="313"/>
      <c r="H20" s="314"/>
      <c r="K20" s="306"/>
      <c r="L20" s="306"/>
      <c r="M20" s="320"/>
      <c r="N20" s="296"/>
    </row>
    <row r="21" spans="1:14" ht="149" customHeight="1" thickBot="1" x14ac:dyDescent="0.35">
      <c r="A21" s="319" t="s">
        <v>214</v>
      </c>
      <c r="B21" s="319"/>
      <c r="C21" s="319"/>
      <c r="D21" s="312">
        <v>26396</v>
      </c>
      <c r="F21" s="312">
        <f>'[1]Cash book'!J159-'[1]Cash book'!L159</f>
        <v>36002.650000000009</v>
      </c>
      <c r="G21" s="313">
        <f>F21-D21</f>
        <v>9606.6500000000087</v>
      </c>
      <c r="H21" s="314">
        <f>IF((D21&gt;F21),(D21-F21)/D21,IF(D21&lt;F21,-(D21-F21)/D21,IF(D21=F21,0)))</f>
        <v>0.36394340051522989</v>
      </c>
      <c r="I21" s="297">
        <f>IF(D21-F21&lt;200,0,IF(D21-F21&gt;200,1,IF(D21-F21=200,1)))</f>
        <v>0</v>
      </c>
      <c r="J21" s="297">
        <f>IF(F21-D21&lt;200,0,IF(F21-D21&gt;200,1,IF(F21-D21=200,1)))</f>
        <v>1</v>
      </c>
      <c r="K21" s="306">
        <f>IF(H21&lt;0.15,0,IF(H21&gt;0.15,1,IF(H21=0.15,1)))</f>
        <v>1</v>
      </c>
      <c r="L21" s="306" t="str">
        <f>IF(H21&lt;15%, "NO","YES")</f>
        <v>YES</v>
      </c>
      <c r="M21" s="310" t="s">
        <v>215</v>
      </c>
      <c r="N21" s="315"/>
    </row>
    <row r="22" spans="1:14" ht="14.5" thickBot="1" x14ac:dyDescent="0.35">
      <c r="D22" s="313"/>
      <c r="F22" s="313"/>
      <c r="G22" s="313"/>
      <c r="H22" s="314"/>
      <c r="K22" s="306"/>
      <c r="L22" s="306"/>
      <c r="N22" s="296"/>
    </row>
    <row r="23" spans="1:14" ht="20.149999999999999" customHeight="1" thickBot="1" x14ac:dyDescent="0.35">
      <c r="A23" s="322" t="s">
        <v>216</v>
      </c>
      <c r="D23" s="323">
        <f>D11+D13+D15-D17-D19-D21</f>
        <v>48805</v>
      </c>
      <c r="F23" s="323">
        <f>'[1]Ledger Receipts'!I115</f>
        <v>59782.11</v>
      </c>
      <c r="G23" s="313"/>
      <c r="H23" s="314"/>
      <c r="K23" s="306"/>
      <c r="L23" s="306"/>
      <c r="M23" s="324" t="s">
        <v>217</v>
      </c>
      <c r="N23" s="296"/>
    </row>
    <row r="24" spans="1:14" ht="56" x14ac:dyDescent="0.3">
      <c r="A24" s="322"/>
      <c r="D24" s="325"/>
      <c r="F24" s="325"/>
      <c r="G24" s="313"/>
      <c r="H24" s="314"/>
      <c r="K24" s="306"/>
      <c r="L24" s="326" t="str">
        <f>IF(F23&gt;(2*F13),"YES","NO")</f>
        <v>YES</v>
      </c>
      <c r="M24" s="327" t="str">
        <f>IF(F23&gt;(2*F13),"EXPLANATION REQUIRED ON RESERVES TAB AS TO WHY CARRY FORWARD RESERVES ARE GREATER THAN TWICE INCOME FROM LOCAL TAXATION/LEVIES"," ")</f>
        <v>EXPLANATION REQUIRED ON RESERVES TAB AS TO WHY CARRY FORWARD RESERVES ARE GREATER THAN TWICE INCOME FROM LOCAL TAXATION/LEVIES</v>
      </c>
      <c r="N24" s="296"/>
    </row>
    <row r="25" spans="1:14" ht="14.5" thickBot="1" x14ac:dyDescent="0.35">
      <c r="D25" s="313"/>
      <c r="F25" s="313"/>
      <c r="G25" s="313"/>
      <c r="H25" s="314"/>
      <c r="K25" s="306"/>
      <c r="L25" s="306"/>
      <c r="N25" s="296"/>
    </row>
    <row r="26" spans="1:14" ht="20.149999999999999" customHeight="1" thickBot="1" x14ac:dyDescent="0.35">
      <c r="A26" s="319" t="s">
        <v>218</v>
      </c>
      <c r="B26" s="319"/>
      <c r="C26" s="319"/>
      <c r="D26" s="312">
        <v>0</v>
      </c>
      <c r="F26" s="312">
        <v>0</v>
      </c>
      <c r="G26" s="313"/>
      <c r="H26" s="314"/>
      <c r="K26" s="306"/>
      <c r="L26" s="306"/>
      <c r="M26" s="324" t="s">
        <v>217</v>
      </c>
      <c r="N26" s="296"/>
    </row>
    <row r="27" spans="1:14" ht="14.5" thickBot="1" x14ac:dyDescent="0.35">
      <c r="D27" s="313"/>
      <c r="F27" s="313"/>
      <c r="G27" s="313"/>
      <c r="H27" s="314"/>
      <c r="K27" s="306"/>
      <c r="L27" s="306"/>
      <c r="N27" s="296"/>
    </row>
    <row r="28" spans="1:14" ht="20.149999999999999" customHeight="1" thickBot="1" x14ac:dyDescent="0.35">
      <c r="A28" s="319" t="s">
        <v>219</v>
      </c>
      <c r="B28" s="319"/>
      <c r="C28" s="319"/>
      <c r="D28" s="312">
        <v>64141</v>
      </c>
      <c r="F28" s="312">
        <v>64123</v>
      </c>
      <c r="G28" s="313">
        <f>F28-D28</f>
        <v>-18</v>
      </c>
      <c r="H28" s="314">
        <f>IF((D28&gt;F28),(D28-F28)/D28,IF(D28&lt;F28,-(D28-F28)/D28,IF(D28=F28,0)))</f>
        <v>2.8063173321276561E-4</v>
      </c>
      <c r="I28" s="297">
        <f>IF(D28-F28&lt;200,0,IF(D28-F28&gt;200,1,IF(D28-F28=200,1)))</f>
        <v>0</v>
      </c>
      <c r="J28" s="297">
        <f>IF(F28-D28&lt;200,0,IF(F28-D28&gt;200,1,IF(F28-D28=200,1)))</f>
        <v>0</v>
      </c>
      <c r="K28" s="306">
        <f>IF(H28&lt;0.15,0,IF(H28&gt;0.15,1,IF(H28=0.15,1)))</f>
        <v>0</v>
      </c>
      <c r="L28" s="306" t="str">
        <f>IF(H28&lt;15%, "NO","YES")</f>
        <v>NO</v>
      </c>
      <c r="M28" s="310" t="str">
        <f>IF((L28="YES")*AND(I28+J28&lt;1),"Explanation not required, difference less than £200"," ")</f>
        <v xml:space="preserve"> </v>
      </c>
      <c r="N28" s="315"/>
    </row>
    <row r="29" spans="1:14" ht="14.5" thickBot="1" x14ac:dyDescent="0.35">
      <c r="D29" s="313"/>
      <c r="F29" s="313"/>
      <c r="G29" s="313"/>
      <c r="H29" s="314"/>
      <c r="K29" s="306"/>
      <c r="L29" s="306"/>
      <c r="N29" s="296"/>
    </row>
    <row r="30" spans="1:14" ht="20.149999999999999" customHeight="1" thickBot="1" x14ac:dyDescent="0.35">
      <c r="A30" s="319" t="s">
        <v>220</v>
      </c>
      <c r="B30" s="319"/>
      <c r="C30" s="319"/>
      <c r="D30" s="312">
        <v>0</v>
      </c>
      <c r="F30" s="312">
        <v>0</v>
      </c>
      <c r="G30" s="313">
        <f>F30-D30</f>
        <v>0</v>
      </c>
      <c r="H30" s="314">
        <f>IF((D30&gt;F30),(D30-F30)/D30,IF(D30&lt;F30,-(D30-F30)/D30,IF(D30=F30,0)))</f>
        <v>0</v>
      </c>
      <c r="I30" s="297">
        <f>IF(D30-F30&lt;100,0,IF(D30-F30&gt;100,1,IF(D30-F30=100,1)))</f>
        <v>0</v>
      </c>
      <c r="J30" s="297">
        <f>IF(F30-D30&lt;100,0,IF(F30-D30&gt;100,1,IF(F30-D30=100,1)))</f>
        <v>0</v>
      </c>
      <c r="K30" s="306">
        <f>IF(H30&lt;0.15,0,IF(H30&gt;0.15,1,IF(H30=0.15,1)))</f>
        <v>0</v>
      </c>
      <c r="L30" s="306" t="str">
        <f>IF(H30&lt;15%, "NO","YES")</f>
        <v>NO</v>
      </c>
      <c r="M30" s="310" t="str">
        <f>IF((L30="YES")*AND(I30+J30&lt;1),"Explanation not required, difference less than £200"," ")</f>
        <v xml:space="preserve"> </v>
      </c>
      <c r="N30" s="315"/>
    </row>
    <row r="31" spans="1:14" x14ac:dyDescent="0.3">
      <c r="H31" s="314"/>
      <c r="K31" s="306"/>
      <c r="L31" s="306"/>
      <c r="N31" s="296"/>
    </row>
    <row r="32" spans="1:14" x14ac:dyDescent="0.3">
      <c r="C32" s="328" t="s">
        <v>221</v>
      </c>
    </row>
    <row r="33" spans="1:22" ht="15" customHeight="1" x14ac:dyDescent="0.3">
      <c r="O33" s="329"/>
      <c r="P33" s="329"/>
      <c r="Q33" s="329"/>
      <c r="R33" s="329"/>
      <c r="S33" s="329"/>
      <c r="T33" s="329"/>
      <c r="U33" s="329"/>
      <c r="V33" s="329"/>
    </row>
    <row r="34" spans="1:22" x14ac:dyDescent="0.3">
      <c r="C34" s="328" t="s">
        <v>222</v>
      </c>
      <c r="N34" s="329"/>
      <c r="O34" s="329"/>
      <c r="P34" s="329"/>
      <c r="Q34" s="329"/>
      <c r="R34" s="329"/>
      <c r="S34" s="329"/>
      <c r="T34" s="329"/>
      <c r="U34" s="329"/>
      <c r="V34" s="329"/>
    </row>
    <row r="36" spans="1:22" x14ac:dyDescent="0.3">
      <c r="C36" s="328" t="s">
        <v>223</v>
      </c>
    </row>
    <row r="38" spans="1:22" x14ac:dyDescent="0.3">
      <c r="A38" s="297" t="s">
        <v>224</v>
      </c>
    </row>
  </sheetData>
  <mergeCells count="11">
    <mergeCell ref="A19:C19"/>
    <mergeCell ref="A21:C21"/>
    <mergeCell ref="A26:C26"/>
    <mergeCell ref="A28:C28"/>
    <mergeCell ref="A30:C30"/>
    <mergeCell ref="A1:K1"/>
    <mergeCell ref="A5:H5"/>
    <mergeCell ref="A11:C11"/>
    <mergeCell ref="A13:C13"/>
    <mergeCell ref="A15:C15"/>
    <mergeCell ref="A17:C1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8DA15-9EE0-4E6F-879D-D5BA6AF5B51C}">
  <sheetPr>
    <tabColor rgb="FFFFC000"/>
    <pageSetUpPr fitToPage="1"/>
  </sheetPr>
  <dimension ref="A1:T35"/>
  <sheetViews>
    <sheetView topLeftCell="A17" workbookViewId="0">
      <selection activeCell="F35" sqref="F35"/>
    </sheetView>
  </sheetViews>
  <sheetFormatPr defaultColWidth="9.1796875" defaultRowHeight="13.5" x14ac:dyDescent="0.3"/>
  <cols>
    <col min="1" max="1" width="33.1796875" style="334" customWidth="1"/>
    <col min="2" max="2" width="10.54296875" style="334" customWidth="1"/>
    <col min="3" max="4" width="9.1796875" style="334"/>
    <col min="5" max="5" width="9.26953125" style="334" customWidth="1"/>
    <col min="6" max="7" width="9.7265625" style="340" bestFit="1" customWidth="1"/>
    <col min="8" max="16384" width="9.1796875" style="334"/>
  </cols>
  <sheetData>
    <row r="1" spans="1:20" s="331" customFormat="1" ht="18" x14ac:dyDescent="0.35">
      <c r="A1" s="330" t="s">
        <v>225</v>
      </c>
      <c r="F1" s="332"/>
      <c r="G1" s="332"/>
    </row>
    <row r="2" spans="1:20" s="331" customFormat="1" ht="17.5" x14ac:dyDescent="0.35">
      <c r="A2" s="333" t="s">
        <v>226</v>
      </c>
      <c r="B2" s="333"/>
      <c r="C2" s="333"/>
      <c r="D2" s="333"/>
      <c r="E2" s="333"/>
      <c r="F2" s="333"/>
      <c r="G2" s="333"/>
      <c r="H2" s="333"/>
      <c r="I2" s="333"/>
    </row>
    <row r="3" spans="1:20" ht="39.75" customHeight="1" x14ac:dyDescent="0.3">
      <c r="A3" s="333"/>
      <c r="B3" s="333"/>
      <c r="C3" s="333"/>
      <c r="D3" s="333"/>
      <c r="E3" s="333"/>
      <c r="F3" s="333"/>
      <c r="G3" s="333"/>
      <c r="H3" s="333"/>
      <c r="I3" s="333"/>
    </row>
    <row r="4" spans="1:20" ht="17.25" customHeight="1" x14ac:dyDescent="0.35">
      <c r="A4" s="335"/>
      <c r="B4" s="335"/>
      <c r="C4" s="335"/>
      <c r="D4" s="335"/>
      <c r="E4" s="335"/>
      <c r="F4" s="335"/>
      <c r="G4" s="335"/>
      <c r="H4" s="335"/>
      <c r="I4" s="335"/>
    </row>
    <row r="5" spans="1:20" x14ac:dyDescent="0.3">
      <c r="A5" s="334" t="s">
        <v>195</v>
      </c>
      <c r="B5" s="336" t="s">
        <v>196</v>
      </c>
      <c r="C5" s="337"/>
      <c r="D5" s="337"/>
      <c r="E5" s="337"/>
      <c r="F5" s="337"/>
      <c r="G5" s="338"/>
    </row>
    <row r="7" spans="1:20" x14ac:dyDescent="0.3">
      <c r="A7" s="334" t="s">
        <v>227</v>
      </c>
      <c r="D7" s="336" t="s">
        <v>228</v>
      </c>
      <c r="E7" s="337"/>
      <c r="F7" s="337"/>
      <c r="G7" s="338"/>
      <c r="K7" s="339"/>
      <c r="L7" s="339"/>
      <c r="M7" s="339"/>
      <c r="N7" s="339"/>
      <c r="O7" s="339"/>
      <c r="P7" s="339"/>
      <c r="Q7" s="339"/>
      <c r="R7" s="339"/>
      <c r="S7" s="339"/>
    </row>
    <row r="8" spans="1:20" x14ac:dyDescent="0.3">
      <c r="K8" s="339"/>
      <c r="L8" s="339"/>
      <c r="M8" s="339"/>
      <c r="N8" s="339"/>
      <c r="O8" s="339"/>
      <c r="P8" s="339"/>
      <c r="Q8" s="339"/>
      <c r="R8" s="339"/>
      <c r="S8" s="339"/>
    </row>
    <row r="9" spans="1:20" x14ac:dyDescent="0.3">
      <c r="A9" s="341" t="s">
        <v>229</v>
      </c>
      <c r="B9" s="341"/>
      <c r="C9" s="341"/>
      <c r="D9" s="341"/>
    </row>
    <row r="11" spans="1:20" x14ac:dyDescent="0.3">
      <c r="A11" s="334" t="s">
        <v>230</v>
      </c>
      <c r="B11" s="342" t="s">
        <v>231</v>
      </c>
      <c r="C11" s="343"/>
      <c r="D11" s="343"/>
      <c r="E11" s="343"/>
      <c r="F11" s="343"/>
      <c r="G11" s="344"/>
    </row>
    <row r="13" spans="1:20" x14ac:dyDescent="0.3">
      <c r="A13" s="334" t="s">
        <v>232</v>
      </c>
      <c r="B13" s="345">
        <v>43936</v>
      </c>
    </row>
    <row r="15" spans="1:20" ht="15.5" x14ac:dyDescent="0.35">
      <c r="F15" s="340" t="s">
        <v>206</v>
      </c>
      <c r="G15" s="340" t="s">
        <v>206</v>
      </c>
      <c r="T15" s="346"/>
    </row>
    <row r="16" spans="1:20" s="341" customFormat="1" x14ac:dyDescent="0.3">
      <c r="A16" s="341" t="s">
        <v>233</v>
      </c>
      <c r="F16" s="347"/>
      <c r="G16" s="347"/>
    </row>
    <row r="17" spans="1:8" x14ac:dyDescent="0.3">
      <c r="B17" s="348" t="s">
        <v>234</v>
      </c>
      <c r="C17" s="348"/>
      <c r="D17" s="348"/>
      <c r="E17" s="348"/>
      <c r="F17" s="349">
        <f>'[1]Ledger Receipts'!I110</f>
        <v>4736.97</v>
      </c>
      <c r="G17" s="350"/>
    </row>
    <row r="18" spans="1:8" x14ac:dyDescent="0.3">
      <c r="B18" s="348" t="s">
        <v>235</v>
      </c>
      <c r="C18" s="348"/>
      <c r="D18" s="348"/>
      <c r="E18" s="348"/>
      <c r="F18" s="349">
        <f>'[1]Ledger Receipts'!I111</f>
        <v>55045.14</v>
      </c>
      <c r="G18" s="350"/>
    </row>
    <row r="19" spans="1:8" x14ac:dyDescent="0.3">
      <c r="F19" s="351"/>
      <c r="G19" s="352">
        <f>SUM(F17:F18)</f>
        <v>59782.11</v>
      </c>
    </row>
    <row r="20" spans="1:8" x14ac:dyDescent="0.3">
      <c r="F20" s="350"/>
      <c r="G20" s="350"/>
    </row>
    <row r="21" spans="1:8" x14ac:dyDescent="0.3">
      <c r="A21" s="334" t="s">
        <v>236</v>
      </c>
      <c r="F21" s="350"/>
      <c r="G21" s="350">
        <v>0</v>
      </c>
    </row>
    <row r="22" spans="1:8" x14ac:dyDescent="0.3">
      <c r="F22" s="350"/>
      <c r="G22" s="350"/>
    </row>
    <row r="23" spans="1:8" x14ac:dyDescent="0.3">
      <c r="A23" s="334" t="s">
        <v>237</v>
      </c>
      <c r="F23" s="353"/>
      <c r="G23" s="350"/>
    </row>
    <row r="24" spans="1:8" x14ac:dyDescent="0.3">
      <c r="A24" s="348"/>
      <c r="B24" s="348"/>
      <c r="C24" s="348"/>
      <c r="D24" s="348"/>
      <c r="E24" s="348"/>
      <c r="F24" s="354"/>
      <c r="G24" s="350"/>
    </row>
    <row r="25" spans="1:8" x14ac:dyDescent="0.3">
      <c r="F25" s="351"/>
      <c r="G25" s="355">
        <f>SUM(F24:F24)</f>
        <v>0</v>
      </c>
    </row>
    <row r="26" spans="1:8" x14ac:dyDescent="0.3">
      <c r="A26" s="334" t="s">
        <v>238</v>
      </c>
      <c r="F26" s="350"/>
      <c r="G26" s="350"/>
    </row>
    <row r="27" spans="1:8" x14ac:dyDescent="0.3">
      <c r="B27" s="348"/>
      <c r="C27" s="348"/>
      <c r="D27" s="348"/>
      <c r="E27" s="348"/>
      <c r="F27" s="356"/>
      <c r="G27" s="350"/>
    </row>
    <row r="28" spans="1:8" x14ac:dyDescent="0.3">
      <c r="B28" s="348" t="s">
        <v>239</v>
      </c>
      <c r="C28" s="348"/>
      <c r="D28" s="348"/>
      <c r="E28" s="348"/>
      <c r="F28" s="356"/>
      <c r="G28" s="350"/>
    </row>
    <row r="29" spans="1:8" x14ac:dyDescent="0.3">
      <c r="B29" s="348"/>
      <c r="C29" s="348"/>
      <c r="D29" s="348"/>
      <c r="E29" s="348"/>
      <c r="F29" s="356"/>
      <c r="G29" s="350"/>
    </row>
    <row r="30" spans="1:8" x14ac:dyDescent="0.3">
      <c r="F30" s="351"/>
      <c r="G30" s="351">
        <f>SUM(F27:F29)</f>
        <v>0</v>
      </c>
    </row>
    <row r="31" spans="1:8" x14ac:dyDescent="0.3">
      <c r="F31" s="350"/>
      <c r="G31" s="350"/>
    </row>
    <row r="32" spans="1:8" ht="14" thickBot="1" x14ac:dyDescent="0.35">
      <c r="A32" s="341" t="s">
        <v>240</v>
      </c>
      <c r="B32" s="341"/>
      <c r="C32" s="341"/>
      <c r="D32" s="341"/>
      <c r="E32" s="341"/>
      <c r="F32" s="357"/>
      <c r="G32" s="358">
        <f>G19+G21+G25+G30</f>
        <v>59782.11</v>
      </c>
      <c r="H32" s="341"/>
    </row>
    <row r="33" spans="6:7" ht="14" thickTop="1" x14ac:dyDescent="0.3"/>
    <row r="34" spans="6:7" s="348" customFormat="1" x14ac:dyDescent="0.3">
      <c r="F34" s="359"/>
      <c r="G34" s="359"/>
    </row>
    <row r="35" spans="6:7" s="348" customFormat="1" x14ac:dyDescent="0.3">
      <c r="F35" s="359"/>
      <c r="G35" s="359"/>
    </row>
  </sheetData>
  <mergeCells count="5">
    <mergeCell ref="A2:I3"/>
    <mergeCell ref="B5:G5"/>
    <mergeCell ref="D7:G7"/>
    <mergeCell ref="K7:S8"/>
    <mergeCell ref="B11:G1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CB29F-CC74-43B9-83FC-C8F83796EB1C}">
  <dimension ref="A1:O87"/>
  <sheetViews>
    <sheetView tabSelected="1" topLeftCell="A58" zoomScaleNormal="100" workbookViewId="0">
      <selection activeCell="M78" sqref="M78"/>
    </sheetView>
  </sheetViews>
  <sheetFormatPr defaultRowHeight="11.5" x14ac:dyDescent="0.25"/>
  <cols>
    <col min="1" max="1" width="26.36328125" style="363" customWidth="1"/>
    <col min="2" max="2" width="8.36328125" style="363" customWidth="1"/>
    <col min="3" max="3" width="8.54296875" style="363" customWidth="1"/>
    <col min="4" max="4" width="0.90625" style="361" customWidth="1"/>
    <col min="5" max="5" width="7" style="362" customWidth="1"/>
    <col min="6" max="6" width="0.6328125" style="362" customWidth="1"/>
    <col min="7" max="7" width="8" style="362" customWidth="1"/>
    <col min="8" max="8" width="0.7265625" style="362" customWidth="1"/>
    <col min="9" max="9" width="8.08984375" style="362" bestFit="1" customWidth="1"/>
    <col min="10" max="10" width="1" style="362" customWidth="1"/>
    <col min="11" max="11" width="7.1796875" style="362" bestFit="1" customWidth="1"/>
    <col min="12" max="12" width="0.81640625" style="363" customWidth="1"/>
    <col min="13" max="13" width="8.6328125" style="363" customWidth="1"/>
    <col min="14" max="14" width="8.54296875" style="364" bestFit="1" customWidth="1"/>
    <col min="15" max="15" width="8.36328125" style="363" customWidth="1"/>
    <col min="16" max="16384" width="8.7265625" style="363"/>
  </cols>
  <sheetData>
    <row r="1" spans="1:15" x14ac:dyDescent="0.25">
      <c r="A1" s="360" t="s">
        <v>241</v>
      </c>
      <c r="B1" s="360"/>
      <c r="C1" s="360"/>
    </row>
    <row r="2" spans="1:15" x14ac:dyDescent="0.25">
      <c r="A2" s="365" t="s">
        <v>242</v>
      </c>
    </row>
    <row r="4" spans="1:15" x14ac:dyDescent="0.25">
      <c r="A4" s="366" t="s">
        <v>243</v>
      </c>
      <c r="B4" s="367" t="s">
        <v>244</v>
      </c>
      <c r="C4" s="368" t="s">
        <v>244</v>
      </c>
      <c r="E4" s="369" t="s">
        <v>245</v>
      </c>
      <c r="F4" s="370"/>
      <c r="G4" s="369" t="s">
        <v>245</v>
      </c>
      <c r="H4" s="370"/>
      <c r="I4" s="369" t="s">
        <v>245</v>
      </c>
      <c r="J4" s="370"/>
      <c r="K4" s="369" t="s">
        <v>245</v>
      </c>
      <c r="M4" s="371" t="s">
        <v>26</v>
      </c>
      <c r="N4" s="372" t="s">
        <v>207</v>
      </c>
      <c r="O4" s="373" t="s">
        <v>246</v>
      </c>
    </row>
    <row r="5" spans="1:15" x14ac:dyDescent="0.25">
      <c r="A5" s="374"/>
      <c r="B5" s="374" t="s">
        <v>34</v>
      </c>
      <c r="C5" s="375" t="s">
        <v>247</v>
      </c>
      <c r="E5" s="376" t="s">
        <v>44</v>
      </c>
      <c r="F5" s="370"/>
      <c r="G5" s="376" t="s">
        <v>114</v>
      </c>
      <c r="H5" s="370"/>
      <c r="I5" s="376" t="s">
        <v>144</v>
      </c>
      <c r="J5" s="370"/>
      <c r="K5" s="376" t="s">
        <v>173</v>
      </c>
      <c r="M5" s="377" t="s">
        <v>248</v>
      </c>
      <c r="N5" s="378" t="s">
        <v>249</v>
      </c>
      <c r="O5" s="379" t="s">
        <v>244</v>
      </c>
    </row>
    <row r="6" spans="1:15" x14ac:dyDescent="0.25">
      <c r="A6" s="380" t="s">
        <v>250</v>
      </c>
      <c r="B6" s="380"/>
      <c r="C6" s="381"/>
      <c r="E6" s="382"/>
      <c r="G6" s="382"/>
      <c r="I6" s="382"/>
      <c r="K6" s="382"/>
      <c r="M6" s="382"/>
      <c r="N6" s="383"/>
      <c r="O6" s="384"/>
    </row>
    <row r="7" spans="1:15" ht="16" customHeight="1" x14ac:dyDescent="0.3">
      <c r="A7" s="385" t="s">
        <v>251</v>
      </c>
      <c r="B7" s="386" t="s">
        <v>47</v>
      </c>
      <c r="C7" s="387">
        <v>8970</v>
      </c>
      <c r="D7" s="361">
        <v>1</v>
      </c>
      <c r="E7" s="388">
        <f>IFERROR(VLOOKUP(D7,[1]BVAP!A$4:B$29,2,FALSE),0)</f>
        <v>2367.65</v>
      </c>
      <c r="G7" s="388">
        <f>IFERROR(VLOOKUP(D7,[1]BVAP!A$5:C$26,3,FALSE),0)</f>
        <v>2239.89</v>
      </c>
      <c r="I7" s="388">
        <f>IFERROR(VLOOKUP(D7,[1]BVAP!A$5:D$30,4,FALSE),0)</f>
        <v>2239.89</v>
      </c>
      <c r="K7" s="388">
        <f>IFERROR(VLOOKUP(D7,[1]BVAP!A$5:E$37,5,FALSE),0)</f>
        <v>2239.89</v>
      </c>
      <c r="M7" s="388">
        <f>E7+G7+I7+K7</f>
        <v>9087.32</v>
      </c>
      <c r="N7" s="389">
        <f>M7/C7</f>
        <v>1.0130791527313265</v>
      </c>
      <c r="O7" s="388">
        <f>C7-M7</f>
        <v>-117.31999999999971</v>
      </c>
    </row>
    <row r="8" spans="1:15" ht="12" x14ac:dyDescent="0.3">
      <c r="A8" s="390" t="s">
        <v>252</v>
      </c>
      <c r="B8" s="386" t="s">
        <v>60</v>
      </c>
      <c r="C8" s="387">
        <v>37</v>
      </c>
      <c r="D8" s="361">
        <v>2</v>
      </c>
      <c r="E8" s="388">
        <f>IFERROR(VLOOKUP(D8,[1]BVAP!A$4:B$29,2,FALSE),0)</f>
        <v>61.15</v>
      </c>
      <c r="G8" s="388">
        <f>IFERROR(VLOOKUP(D8,[1]BVAP!A$5:C$26,3,FALSE),0)</f>
        <v>0</v>
      </c>
      <c r="I8" s="388">
        <f>IFERROR(VLOOKUP(D8,[1]BVAP!A$5:D$30,4,FALSE),0)</f>
        <v>11.58</v>
      </c>
      <c r="K8" s="388">
        <f>IFERROR(VLOOKUP(D8,[1]BVAP!A$5:E$37,5,FALSE),0)</f>
        <v>5.79</v>
      </c>
      <c r="M8" s="388">
        <f t="shared" ref="M8:M69" si="0">E8+G8+I8+K8</f>
        <v>78.52000000000001</v>
      </c>
      <c r="N8" s="389">
        <f t="shared" ref="N8:N63" si="1">M8/C8</f>
        <v>2.1221621621621622</v>
      </c>
      <c r="O8" s="388">
        <f t="shared" ref="O8:O69" si="2">C8-M8</f>
        <v>-41.52000000000001</v>
      </c>
    </row>
    <row r="9" spans="1:15" ht="12" x14ac:dyDescent="0.3">
      <c r="A9" s="390" t="s">
        <v>253</v>
      </c>
      <c r="B9" s="386" t="s">
        <v>254</v>
      </c>
      <c r="C9" s="391">
        <v>0</v>
      </c>
      <c r="D9" s="361">
        <v>3</v>
      </c>
      <c r="E9" s="388">
        <f>IFERROR(VLOOKUP(D9,[1]BVAP!A$4:B$29,2,FALSE),0)</f>
        <v>0</v>
      </c>
      <c r="G9" s="388">
        <f>IFERROR(VLOOKUP(D9,[1]BVAP!A$5:C$26,3,FALSE),0)</f>
        <v>0</v>
      </c>
      <c r="I9" s="388">
        <f>IFERROR(VLOOKUP(D9,[1]BVAP!A$5:D$30,4,FALSE),0)</f>
        <v>0</v>
      </c>
      <c r="K9" s="388">
        <f>IFERROR(VLOOKUP(D9,[1]BVAP!A$5:E$37,4,FALSE),0)</f>
        <v>0</v>
      </c>
      <c r="M9" s="388">
        <f t="shared" si="0"/>
        <v>0</v>
      </c>
      <c r="N9" s="389"/>
      <c r="O9" s="388">
        <f t="shared" si="2"/>
        <v>0</v>
      </c>
    </row>
    <row r="10" spans="1:15" x14ac:dyDescent="0.25">
      <c r="A10" s="392" t="s">
        <v>255</v>
      </c>
      <c r="B10" s="392"/>
      <c r="C10" s="393">
        <f>SUM(C7:C9)</f>
        <v>9007</v>
      </c>
      <c r="E10" s="393">
        <f>SUM(E7:E9)</f>
        <v>2428.8000000000002</v>
      </c>
      <c r="F10" s="370"/>
      <c r="G10" s="393">
        <f>SUM(G7:G9)</f>
        <v>2239.89</v>
      </c>
      <c r="H10" s="370"/>
      <c r="I10" s="393">
        <f>SUM(I7:I9)</f>
        <v>2251.4699999999998</v>
      </c>
      <c r="J10" s="370"/>
      <c r="K10" s="393">
        <f>SUM(K7:K9)</f>
        <v>2245.6799999999998</v>
      </c>
      <c r="M10" s="394">
        <f t="shared" si="0"/>
        <v>9165.84</v>
      </c>
      <c r="N10" s="395">
        <f t="shared" si="1"/>
        <v>1.0176351726434996</v>
      </c>
      <c r="O10" s="396">
        <f t="shared" si="2"/>
        <v>-158.84000000000015</v>
      </c>
    </row>
    <row r="11" spans="1:15" x14ac:dyDescent="0.25">
      <c r="A11" s="397" t="s">
        <v>29</v>
      </c>
      <c r="B11" s="398"/>
      <c r="C11" s="399"/>
      <c r="E11" s="388"/>
      <c r="G11" s="388"/>
      <c r="I11" s="388"/>
      <c r="K11" s="388"/>
      <c r="M11" s="388">
        <f t="shared" si="0"/>
        <v>0</v>
      </c>
      <c r="N11" s="389"/>
      <c r="O11" s="388">
        <f t="shared" si="2"/>
        <v>0</v>
      </c>
    </row>
    <row r="12" spans="1:15" ht="12" customHeight="1" x14ac:dyDescent="0.3">
      <c r="A12" s="385" t="s">
        <v>256</v>
      </c>
      <c r="B12" s="400" t="s">
        <v>51</v>
      </c>
      <c r="C12" s="401">
        <v>100</v>
      </c>
      <c r="D12" s="361">
        <v>6</v>
      </c>
      <c r="E12" s="388">
        <f>IFERROR(VLOOKUP(D12,[1]BVAP!A$4:B$29,2,FALSE),0)</f>
        <v>20.46</v>
      </c>
      <c r="G12" s="388">
        <f>IFERROR(VLOOKUP(D12,[1]BVAP!A$5:C$26,3,FALSE),0)</f>
        <v>21</v>
      </c>
      <c r="I12" s="388">
        <f>IFERROR(VLOOKUP(D12,[1]BVAP!A$5:D$30,4,FALSE),0)</f>
        <v>23</v>
      </c>
      <c r="K12" s="388">
        <f>IFERROR(VLOOKUP(D12,[1]BVAP!A$5:E$37,5,FALSE),0)</f>
        <v>13.819999999999999</v>
      </c>
      <c r="M12" s="388">
        <f t="shared" si="0"/>
        <v>78.28</v>
      </c>
      <c r="N12" s="389">
        <f t="shared" si="1"/>
        <v>0.78280000000000005</v>
      </c>
      <c r="O12" s="388">
        <f t="shared" si="2"/>
        <v>21.72</v>
      </c>
    </row>
    <row r="13" spans="1:15" ht="12" x14ac:dyDescent="0.3">
      <c r="A13" s="390" t="s">
        <v>257</v>
      </c>
      <c r="B13" s="400" t="s">
        <v>55</v>
      </c>
      <c r="C13" s="401">
        <v>40</v>
      </c>
      <c r="D13" s="361">
        <v>7</v>
      </c>
      <c r="E13" s="388">
        <f>IFERROR(VLOOKUP(D13,[1]BVAP!A$4:B$29,2,FALSE),0)</f>
        <v>15.83</v>
      </c>
      <c r="G13" s="388">
        <f>IFERROR(VLOOKUP(D13,[1]BVAP!A$5:C$26,3,FALSE),0)</f>
        <v>3.94</v>
      </c>
      <c r="I13" s="388">
        <f>IFERROR(VLOOKUP(D13,[1]BVAP!A$5:D$30,4,FALSE),0)</f>
        <v>11.93</v>
      </c>
      <c r="K13" s="388">
        <f>IFERROR(VLOOKUP(D13,[1]BVAP!A$5:E$37,5,FALSE),0)</f>
        <v>10.18</v>
      </c>
      <c r="M13" s="388">
        <f t="shared" si="0"/>
        <v>41.879999999999995</v>
      </c>
      <c r="N13" s="389">
        <f t="shared" si="1"/>
        <v>1.0469999999999999</v>
      </c>
      <c r="O13" s="388">
        <f t="shared" si="2"/>
        <v>-1.8799999999999955</v>
      </c>
    </row>
    <row r="14" spans="1:15" ht="12" x14ac:dyDescent="0.3">
      <c r="A14" s="390" t="s">
        <v>258</v>
      </c>
      <c r="B14" s="400" t="s">
        <v>117</v>
      </c>
      <c r="C14" s="401">
        <v>45</v>
      </c>
      <c r="D14" s="361">
        <v>8</v>
      </c>
      <c r="E14" s="388">
        <f>IFERROR(VLOOKUP(D14,[1]BVAP!A$4:B$29,2,FALSE),0)</f>
        <v>0</v>
      </c>
      <c r="G14" s="388">
        <f>IFERROR(VLOOKUP(D14,[1]BVAP!A$5:C$26,3,FALSE),0)</f>
        <v>32.67</v>
      </c>
      <c r="I14" s="388">
        <f>IFERROR(VLOOKUP(D14,[1]BVAP!A$5:D$30,4,FALSE),0)</f>
        <v>7.8</v>
      </c>
      <c r="K14" s="388">
        <f>IFERROR(VLOOKUP(D14,[1]BVAP!A$5:E$37,5,FALSE),0)</f>
        <v>19.059999999999999</v>
      </c>
      <c r="M14" s="388">
        <f t="shared" si="0"/>
        <v>59.53</v>
      </c>
      <c r="N14" s="389">
        <f t="shared" si="1"/>
        <v>1.322888888888889</v>
      </c>
      <c r="O14" s="388">
        <f t="shared" si="2"/>
        <v>-14.530000000000001</v>
      </c>
    </row>
    <row r="15" spans="1:15" ht="12" x14ac:dyDescent="0.3">
      <c r="A15" s="390" t="s">
        <v>259</v>
      </c>
      <c r="B15" s="400" t="s">
        <v>74</v>
      </c>
      <c r="C15" s="401">
        <v>400</v>
      </c>
      <c r="D15" s="361">
        <v>9</v>
      </c>
      <c r="E15" s="388">
        <f>IFERROR(VLOOKUP(D15,[1]BVAP!A$4:B$29,2,FALSE),0)</f>
        <v>288</v>
      </c>
      <c r="G15" s="388">
        <f>IFERROR(VLOOKUP(D15,[1]BVAP!A$5:C$26,3,FALSE),0)</f>
        <v>23.98</v>
      </c>
      <c r="I15" s="388">
        <f>IFERROR(VLOOKUP(D15,[1]BVAP!A$5:D$30,4,FALSE),0)</f>
        <v>35.97</v>
      </c>
      <c r="K15" s="388">
        <f>IFERROR(VLOOKUP(D15,[1]BVAP!A$5:E$37,5,FALSE),0)</f>
        <v>35.97</v>
      </c>
      <c r="M15" s="388">
        <f t="shared" si="0"/>
        <v>383.92000000000007</v>
      </c>
      <c r="N15" s="389">
        <f t="shared" si="1"/>
        <v>0.95980000000000021</v>
      </c>
      <c r="O15" s="388">
        <f t="shared" si="2"/>
        <v>16.079999999999927</v>
      </c>
    </row>
    <row r="16" spans="1:15" ht="12" x14ac:dyDescent="0.3">
      <c r="A16" s="390" t="s">
        <v>260</v>
      </c>
      <c r="B16" s="400" t="s">
        <v>183</v>
      </c>
      <c r="C16" s="401">
        <v>285</v>
      </c>
      <c r="D16" s="361">
        <v>10</v>
      </c>
      <c r="E16" s="388">
        <f>IFERROR(VLOOKUP(D16,[1]BVAP!A$4:B$29,2,FALSE),0)</f>
        <v>0</v>
      </c>
      <c r="G16" s="388">
        <f>IFERROR(VLOOKUP(D16,[1]BVAP!A$5:C$26,3,FALSE),0)</f>
        <v>0</v>
      </c>
      <c r="I16" s="388">
        <f>IFERROR(VLOOKUP(D16,[1]BVAP!A$5:D$30,4,FALSE),0)</f>
        <v>0</v>
      </c>
      <c r="K16" s="388">
        <f>IFERROR(VLOOKUP(D16,[1]BVAP!A$5:E$37,5,FALSE),0)</f>
        <v>300</v>
      </c>
      <c r="M16" s="388">
        <f t="shared" si="0"/>
        <v>300</v>
      </c>
      <c r="N16" s="389">
        <f t="shared" si="1"/>
        <v>1.0526315789473684</v>
      </c>
      <c r="O16" s="388">
        <f t="shared" si="2"/>
        <v>-15</v>
      </c>
    </row>
    <row r="17" spans="1:15" ht="12" x14ac:dyDescent="0.3">
      <c r="A17" s="390" t="s">
        <v>261</v>
      </c>
      <c r="B17" s="400" t="s">
        <v>188</v>
      </c>
      <c r="C17" s="401">
        <v>160</v>
      </c>
      <c r="D17" s="361">
        <v>11</v>
      </c>
      <c r="E17" s="388">
        <f>IFERROR(VLOOKUP(D17,[1]BVAP!A$4:B$29,2,FALSE),0)</f>
        <v>0</v>
      </c>
      <c r="G17" s="388">
        <f>IFERROR(VLOOKUP(D17,[1]BVAP!A$5:C$26,3,FALSE),0)</f>
        <v>0</v>
      </c>
      <c r="I17" s="388">
        <f>IFERROR(VLOOKUP(D17,[1]BVAP!A$5:D$30,4,FALSE),0)</f>
        <v>0</v>
      </c>
      <c r="K17" s="388">
        <f>IFERROR(VLOOKUP(D17,[1]BVAP!A$5:E$37,5,FALSE),0)</f>
        <v>10.5</v>
      </c>
      <c r="M17" s="388">
        <f t="shared" si="0"/>
        <v>10.5</v>
      </c>
      <c r="N17" s="389">
        <f t="shared" si="1"/>
        <v>6.5625000000000003E-2</v>
      </c>
      <c r="O17" s="388">
        <f t="shared" si="2"/>
        <v>149.5</v>
      </c>
    </row>
    <row r="18" spans="1:15" ht="12" x14ac:dyDescent="0.3">
      <c r="A18" s="390" t="s">
        <v>262</v>
      </c>
      <c r="B18" s="400" t="s">
        <v>81</v>
      </c>
      <c r="C18" s="401">
        <v>80</v>
      </c>
      <c r="D18" s="361">
        <v>14</v>
      </c>
      <c r="E18" s="388">
        <f>IFERROR(VLOOKUP(D18,[1]BVAP!A$4:B$29,2,FALSE),0)</f>
        <v>10.47</v>
      </c>
      <c r="G18" s="388">
        <f>IFERROR(VLOOKUP(D18,[1]BVAP!A$5:C$26,3,FALSE),0)</f>
        <v>21.39</v>
      </c>
      <c r="I18" s="388">
        <f>IFERROR(VLOOKUP(D18,[1]BVAP!A$5:D$30,4,FALSE),0)</f>
        <v>594.63</v>
      </c>
      <c r="K18" s="388">
        <f>IFERROR(VLOOKUP(D18,[1]BVAP!A$5:E$37,5,FALSE),0)</f>
        <v>10.47</v>
      </c>
      <c r="M18" s="388">
        <f t="shared" si="0"/>
        <v>636.96</v>
      </c>
      <c r="N18" s="389">
        <f t="shared" si="1"/>
        <v>7.9620000000000006</v>
      </c>
      <c r="O18" s="388">
        <f t="shared" si="2"/>
        <v>-556.96</v>
      </c>
    </row>
    <row r="19" spans="1:15" ht="12" x14ac:dyDescent="0.3">
      <c r="A19" s="390" t="s">
        <v>263</v>
      </c>
      <c r="B19" s="400" t="s">
        <v>53</v>
      </c>
      <c r="C19" s="401">
        <v>200</v>
      </c>
      <c r="D19" s="361">
        <v>15</v>
      </c>
      <c r="E19" s="388">
        <f>IFERROR(VLOOKUP(D19,[1]BVAP!A$4:B$29,2,FALSE),0)</f>
        <v>50.4</v>
      </c>
      <c r="G19" s="388">
        <f>IFERROR(VLOOKUP(D19,[1]BVAP!A$5:C$26,3,FALSE),0)</f>
        <v>50.8</v>
      </c>
      <c r="I19" s="388">
        <f>IFERROR(VLOOKUP(D19,[1]BVAP!A$5:D$30,4,FALSE),0)</f>
        <v>60.8</v>
      </c>
      <c r="K19" s="388">
        <f>IFERROR(VLOOKUP(D19,[1]BVAP!A$5:E$37,5,FALSE),0)</f>
        <v>51.2</v>
      </c>
      <c r="M19" s="388">
        <f t="shared" si="0"/>
        <v>213.2</v>
      </c>
      <c r="N19" s="389">
        <f t="shared" si="1"/>
        <v>1.0659999999999998</v>
      </c>
      <c r="O19" s="388">
        <f t="shared" si="2"/>
        <v>-13.199999999999989</v>
      </c>
    </row>
    <row r="20" spans="1:15" ht="12" x14ac:dyDescent="0.3">
      <c r="A20" s="390" t="s">
        <v>264</v>
      </c>
      <c r="B20" s="400" t="s">
        <v>83</v>
      </c>
      <c r="C20" s="401">
        <v>100</v>
      </c>
      <c r="D20" s="361">
        <v>16</v>
      </c>
      <c r="E20" s="388">
        <f>IFERROR(VLOOKUP(D20,[1]BVAP!A$4:B$31,2,FALSE),0)</f>
        <v>85</v>
      </c>
      <c r="G20" s="388">
        <f>IFERROR(VLOOKUP(D20,[1]BVAP!A$5:C$26,3,FALSE),0)</f>
        <v>0</v>
      </c>
      <c r="I20" s="388">
        <f>IFERROR(VLOOKUP(D20,[1]BVAP!A$5:D$30,4,FALSE),0)</f>
        <v>0</v>
      </c>
      <c r="K20" s="388">
        <f>IFERROR(VLOOKUP(D20,[1]BVAP!A$5:E$37,5,FALSE),0)</f>
        <v>0</v>
      </c>
      <c r="M20" s="388">
        <f t="shared" si="0"/>
        <v>85</v>
      </c>
      <c r="N20" s="389">
        <f t="shared" si="1"/>
        <v>0.85</v>
      </c>
      <c r="O20" s="388">
        <f t="shared" si="2"/>
        <v>15</v>
      </c>
    </row>
    <row r="21" spans="1:15" ht="12" x14ac:dyDescent="0.3">
      <c r="A21" s="390" t="s">
        <v>265</v>
      </c>
      <c r="B21" s="400" t="s">
        <v>180</v>
      </c>
      <c r="C21" s="401">
        <v>100</v>
      </c>
      <c r="D21" s="361">
        <v>17</v>
      </c>
      <c r="E21" s="388">
        <f>IFERROR(VLOOKUP(D21,[1]BVAP!A$4:B$29,2,FALSE),0)</f>
        <v>0</v>
      </c>
      <c r="G21" s="388">
        <f>IFERROR(VLOOKUP(D21,[1]BVAP!A$5:C$26,3,FALSE),0)</f>
        <v>0</v>
      </c>
      <c r="I21" s="388">
        <f>IFERROR(VLOOKUP(D21,[1]BVAP!A$5:D$30,4,FALSE),0)</f>
        <v>0</v>
      </c>
      <c r="K21" s="388">
        <f>IFERROR(VLOOKUP(D21,[1]BVAP!A$5:E$37,5,FALSE),0)</f>
        <v>135</v>
      </c>
      <c r="M21" s="388">
        <f t="shared" si="0"/>
        <v>135</v>
      </c>
      <c r="N21" s="389">
        <f t="shared" si="1"/>
        <v>1.35</v>
      </c>
      <c r="O21" s="388">
        <f t="shared" si="2"/>
        <v>-35</v>
      </c>
    </row>
    <row r="22" spans="1:15" ht="12" x14ac:dyDescent="0.3">
      <c r="A22" s="390" t="s">
        <v>266</v>
      </c>
      <c r="B22" s="400" t="s">
        <v>139</v>
      </c>
      <c r="C22" s="401">
        <v>300</v>
      </c>
      <c r="D22" s="361">
        <v>18</v>
      </c>
      <c r="E22" s="388">
        <f>IFERROR(VLOOKUP(D22,[1]BVAP!A$4:B$29,2,FALSE),0)</f>
        <v>0</v>
      </c>
      <c r="G22" s="388">
        <f>IFERROR(VLOOKUP(D22,[1]BVAP!A$5:C$29,3,FALSE),0)</f>
        <v>300</v>
      </c>
      <c r="I22" s="388">
        <f>IFERROR(VLOOKUP(D22,[1]BVAP!A$5:D$30,4,FALSE),0)</f>
        <v>0</v>
      </c>
      <c r="K22" s="388">
        <f>IFERROR(VLOOKUP(D22,[1]BVAP!A$5:E$37,5,FALSE),0)</f>
        <v>0</v>
      </c>
      <c r="M22" s="388">
        <f t="shared" si="0"/>
        <v>300</v>
      </c>
      <c r="N22" s="389">
        <f t="shared" si="1"/>
        <v>1</v>
      </c>
      <c r="O22" s="388">
        <f t="shared" si="2"/>
        <v>0</v>
      </c>
    </row>
    <row r="23" spans="1:15" ht="12" x14ac:dyDescent="0.3">
      <c r="A23" s="390" t="s">
        <v>267</v>
      </c>
      <c r="B23" s="400" t="s">
        <v>86</v>
      </c>
      <c r="C23" s="401">
        <v>370</v>
      </c>
      <c r="D23" s="361">
        <v>19</v>
      </c>
      <c r="E23" s="388">
        <f>IFERROR(VLOOKUP(D23,[1]BVAP!A$4:B$29,2,FALSE),0)</f>
        <v>191</v>
      </c>
      <c r="G23" s="388">
        <f>IFERROR(VLOOKUP(D23,[1]BVAP!A$5:C$26,3,FALSE),0)</f>
        <v>200</v>
      </c>
      <c r="I23" s="388">
        <f>IFERROR(VLOOKUP(D23,[1]BVAP!A$5:D$30,4,FALSE),0)</f>
        <v>0</v>
      </c>
      <c r="K23" s="388">
        <f>IFERROR(VLOOKUP(D23,[1]BVAP!A$5:E$37,5,FALSE),0)</f>
        <v>0</v>
      </c>
      <c r="M23" s="388">
        <f t="shared" si="0"/>
        <v>391</v>
      </c>
      <c r="N23" s="389">
        <f t="shared" si="1"/>
        <v>1.0567567567567568</v>
      </c>
      <c r="O23" s="388">
        <f t="shared" si="2"/>
        <v>-21</v>
      </c>
    </row>
    <row r="24" spans="1:15" ht="12" x14ac:dyDescent="0.3">
      <c r="A24" s="390" t="s">
        <v>268</v>
      </c>
      <c r="B24" s="400" t="s">
        <v>121</v>
      </c>
      <c r="C24" s="401">
        <v>950</v>
      </c>
      <c r="D24" s="361">
        <v>20</v>
      </c>
      <c r="E24" s="388">
        <f>IFERROR(VLOOKUP(D24,[1]BVAP!A$4:B$29,2,FALSE),0)</f>
        <v>0</v>
      </c>
      <c r="G24" s="388">
        <f>IFERROR(VLOOKUP(D24,[1]BVAP!A$5:C$26,3,FALSE),0)</f>
        <v>920.44</v>
      </c>
      <c r="I24" s="388">
        <f>IFERROR(VLOOKUP(D24,[1]BVAP!A$5:D$30,4,FALSE),0)</f>
        <v>0</v>
      </c>
      <c r="K24" s="388">
        <f>IFERROR(VLOOKUP(D24,[1]BVAP!A$5:E$37,5,FALSE),0)</f>
        <v>0</v>
      </c>
      <c r="M24" s="388">
        <f t="shared" si="0"/>
        <v>920.44</v>
      </c>
      <c r="N24" s="389">
        <f t="shared" si="1"/>
        <v>0.96888421052631579</v>
      </c>
      <c r="O24" s="388">
        <f t="shared" si="2"/>
        <v>29.559999999999945</v>
      </c>
    </row>
    <row r="25" spans="1:15" ht="12" x14ac:dyDescent="0.3">
      <c r="A25" s="390" t="s">
        <v>269</v>
      </c>
      <c r="B25" s="400" t="s">
        <v>63</v>
      </c>
      <c r="C25" s="401">
        <v>70</v>
      </c>
      <c r="D25" s="361">
        <v>23</v>
      </c>
      <c r="E25" s="388">
        <f>IFERROR(VLOOKUP(D25,[1]BVAP!A$4:B$29,2,FALSE),0)</f>
        <v>60</v>
      </c>
      <c r="G25" s="388">
        <f>IFERROR(VLOOKUP(D25,[1]BVAP!A$5:C$26,3,FALSE),0)</f>
        <v>0</v>
      </c>
      <c r="I25" s="388">
        <f>IFERROR(VLOOKUP(D25,[1]BVAP!A$5:D$30,4,FALSE),0)</f>
        <v>0</v>
      </c>
      <c r="K25" s="388">
        <f>IFERROR(VLOOKUP(D25,[1]BVAP!A$5:E$37,5,FALSE),0)</f>
        <v>0</v>
      </c>
      <c r="M25" s="388">
        <f t="shared" si="0"/>
        <v>60</v>
      </c>
      <c r="N25" s="389">
        <f t="shared" si="1"/>
        <v>0.8571428571428571</v>
      </c>
      <c r="O25" s="388">
        <f t="shared" si="2"/>
        <v>10</v>
      </c>
    </row>
    <row r="26" spans="1:15" ht="12" x14ac:dyDescent="0.3">
      <c r="A26" s="402" t="s">
        <v>270</v>
      </c>
      <c r="B26" s="400" t="s">
        <v>271</v>
      </c>
      <c r="C26" s="401"/>
      <c r="D26" s="361">
        <v>24</v>
      </c>
      <c r="E26" s="388">
        <f>IFERROR(VLOOKUP(D26,[1]BVAP!A$4:B$29,2,FALSE),0)</f>
        <v>0</v>
      </c>
      <c r="G26" s="388">
        <f>IFERROR(VLOOKUP(D26,[1]BVAP!A$5:C$26,3,FALSE),0)</f>
        <v>0</v>
      </c>
      <c r="I26" s="388">
        <f>IFERROR(VLOOKUP(D26,[1]BVAP!A$5:D$30,4,FALSE),0)</f>
        <v>0</v>
      </c>
      <c r="K26" s="388">
        <f>IFERROR(VLOOKUP(D26,[1]BVAP!A$5:E$37,5,FALSE),0)</f>
        <v>0</v>
      </c>
      <c r="M26" s="388">
        <f t="shared" si="0"/>
        <v>0</v>
      </c>
      <c r="N26" s="389"/>
      <c r="O26" s="388">
        <f t="shared" si="2"/>
        <v>0</v>
      </c>
    </row>
    <row r="27" spans="1:15" ht="12" x14ac:dyDescent="0.3">
      <c r="A27" s="403" t="s">
        <v>272</v>
      </c>
      <c r="B27" s="400" t="s">
        <v>96</v>
      </c>
      <c r="C27" s="404">
        <v>40</v>
      </c>
      <c r="D27" s="361">
        <v>25</v>
      </c>
      <c r="E27" s="388">
        <f>IFERROR(VLOOKUP(D27,[1]BVAP!A$4:B$29,2,FALSE),0)</f>
        <v>35</v>
      </c>
      <c r="G27" s="388">
        <f>IFERROR(VLOOKUP(D27,[1]BVAP!A$5:C$26,3,FALSE),0)</f>
        <v>0</v>
      </c>
      <c r="I27" s="388">
        <f>IFERROR(VLOOKUP(D27,[1]BVAP!A$5:D$30,4,FALSE),0)</f>
        <v>0</v>
      </c>
      <c r="K27" s="388">
        <f>IFERROR(VLOOKUP(D27,[1]BVAP!A$5:E$37,5,FALSE),0)</f>
        <v>0</v>
      </c>
      <c r="M27" s="388">
        <f t="shared" si="0"/>
        <v>35</v>
      </c>
      <c r="N27" s="389">
        <f t="shared" si="1"/>
        <v>0.875</v>
      </c>
      <c r="O27" s="388">
        <f t="shared" si="2"/>
        <v>5</v>
      </c>
    </row>
    <row r="28" spans="1:15" ht="12" thickBot="1" x14ac:dyDescent="0.3">
      <c r="A28" s="405" t="s">
        <v>273</v>
      </c>
      <c r="B28" s="405"/>
      <c r="C28" s="393">
        <f>SUM(C11:C27)</f>
        <v>3240</v>
      </c>
      <c r="E28" s="393">
        <f>SUM(E11:E27)</f>
        <v>756.16000000000008</v>
      </c>
      <c r="F28" s="370"/>
      <c r="G28" s="393">
        <f>SUM(G11:G27)</f>
        <v>1574.22</v>
      </c>
      <c r="H28" s="370"/>
      <c r="I28" s="393">
        <f>SUM(I11:I27)</f>
        <v>734.12999999999988</v>
      </c>
      <c r="J28" s="370"/>
      <c r="K28" s="393">
        <f>SUM(K11:K27)</f>
        <v>586.20000000000005</v>
      </c>
      <c r="M28" s="394">
        <f t="shared" si="0"/>
        <v>3650.71</v>
      </c>
      <c r="N28" s="395">
        <f t="shared" si="1"/>
        <v>1.1267623456790123</v>
      </c>
      <c r="O28" s="396">
        <f t="shared" si="2"/>
        <v>-410.71000000000004</v>
      </c>
    </row>
    <row r="29" spans="1:15" ht="12" thickTop="1" x14ac:dyDescent="0.25">
      <c r="A29" s="406" t="s">
        <v>274</v>
      </c>
      <c r="B29" s="407"/>
      <c r="C29" s="399"/>
      <c r="E29" s="388"/>
      <c r="G29" s="388"/>
      <c r="I29" s="388"/>
      <c r="K29" s="388"/>
      <c r="M29" s="388">
        <f t="shared" si="0"/>
        <v>0</v>
      </c>
      <c r="N29" s="389"/>
      <c r="O29" s="388">
        <f t="shared" si="2"/>
        <v>0</v>
      </c>
    </row>
    <row r="30" spans="1:15" ht="12" x14ac:dyDescent="0.3">
      <c r="A30" s="408" t="s">
        <v>275</v>
      </c>
      <c r="B30" s="407" t="s">
        <v>77</v>
      </c>
      <c r="C30" s="401">
        <v>200</v>
      </c>
      <c r="D30" s="361">
        <v>26</v>
      </c>
      <c r="E30" s="388">
        <f>IFERROR(VLOOKUP(D30,[1]BVAP!A$4:B$29,2,FALSE),0)</f>
        <v>240</v>
      </c>
      <c r="G30" s="388">
        <f>IFERROR(VLOOKUP(D30,[1]BVAP!A$5:C$29,3,FALSE),0)</f>
        <v>0</v>
      </c>
      <c r="I30" s="388">
        <f>IFERROR(VLOOKUP(D30,[1]BVAP!A$5:D$30,4,FALSE),0)</f>
        <v>69.12</v>
      </c>
      <c r="K30" s="388">
        <f>IFERROR(VLOOKUP(D30,[1]BVAP!A$5:E$37,5,FALSE),0)</f>
        <v>9.36</v>
      </c>
      <c r="M30" s="388">
        <f t="shared" si="0"/>
        <v>318.48</v>
      </c>
      <c r="N30" s="389">
        <f t="shared" si="1"/>
        <v>1.5924</v>
      </c>
      <c r="O30" s="388">
        <f t="shared" si="2"/>
        <v>-118.48000000000002</v>
      </c>
    </row>
    <row r="31" spans="1:15" ht="12" x14ac:dyDescent="0.3">
      <c r="A31" s="408" t="s">
        <v>276</v>
      </c>
      <c r="B31" s="407" t="s">
        <v>69</v>
      </c>
      <c r="C31" s="401">
        <v>2400</v>
      </c>
      <c r="D31" s="361">
        <v>27</v>
      </c>
      <c r="E31" s="388">
        <f>IFERROR(VLOOKUP(D31,[1]BVAP!A$4:B$29,2,FALSE),0)</f>
        <v>530.01</v>
      </c>
      <c r="G31" s="388">
        <f>IFERROR(VLOOKUP(D31,[1]BVAP!A$5:C$26,3,FALSE),0)</f>
        <v>530.01</v>
      </c>
      <c r="I31" s="388">
        <f>IFERROR(VLOOKUP(D31,[1]BVAP!A$5:D$30,4,FALSE),0)</f>
        <v>530.01</v>
      </c>
      <c r="K31" s="388">
        <f>IFERROR(VLOOKUP(D31,[1]BVAP!A$5:E$37,5,FALSE),0)</f>
        <v>530.01</v>
      </c>
      <c r="M31" s="388">
        <f t="shared" si="0"/>
        <v>2120.04</v>
      </c>
      <c r="N31" s="389">
        <f t="shared" si="1"/>
        <v>0.88334999999999997</v>
      </c>
      <c r="O31" s="388">
        <f t="shared" si="2"/>
        <v>279.96000000000004</v>
      </c>
    </row>
    <row r="32" spans="1:15" ht="12" x14ac:dyDescent="0.3">
      <c r="A32" s="408" t="s">
        <v>277</v>
      </c>
      <c r="B32" s="407" t="s">
        <v>136</v>
      </c>
      <c r="C32" s="401">
        <v>600</v>
      </c>
      <c r="D32" s="361">
        <v>28</v>
      </c>
      <c r="E32" s="388">
        <f>IFERROR(VLOOKUP(D32,[1]BVAP!A$4:B$29,2,FALSE),0)</f>
        <v>0</v>
      </c>
      <c r="G32" s="388">
        <f>IFERROR(VLOOKUP(D32,[1]BVAP!A$5:C$29,3,FALSE),0)</f>
        <v>400</v>
      </c>
      <c r="I32" s="388">
        <f>IFERROR(VLOOKUP(D32,[1]BVAP!A$5:D$30,4,FALSE),0)</f>
        <v>200</v>
      </c>
      <c r="K32" s="388">
        <f>IFERROR(VLOOKUP(D32,[1]BVAP!A$5:E$37,5,FALSE),0)</f>
        <v>0</v>
      </c>
      <c r="M32" s="388">
        <f t="shared" si="0"/>
        <v>600</v>
      </c>
      <c r="N32" s="389">
        <f t="shared" si="1"/>
        <v>1</v>
      </c>
      <c r="O32" s="388">
        <f t="shared" si="2"/>
        <v>0</v>
      </c>
    </row>
    <row r="33" spans="1:15" ht="12" x14ac:dyDescent="0.3">
      <c r="A33" s="408" t="s">
        <v>278</v>
      </c>
      <c r="B33" s="407" t="s">
        <v>71</v>
      </c>
      <c r="C33" s="401">
        <v>350</v>
      </c>
      <c r="D33" s="361">
        <v>29</v>
      </c>
      <c r="E33" s="388">
        <f>IFERROR(VLOOKUP(D33,[1]BVAP!A$4:B$29,2,FALSE),0)</f>
        <v>139.5</v>
      </c>
      <c r="G33" s="388">
        <f>IFERROR(VLOOKUP(D33,[1]BVAP!A$5:C$26,3,FALSE),0)</f>
        <v>50</v>
      </c>
      <c r="I33" s="388">
        <f>IFERROR(VLOOKUP(D33,[1]BVAP!A$5:D$30,4,FALSE),0)</f>
        <v>0</v>
      </c>
      <c r="K33" s="388">
        <f>IFERROR(VLOOKUP(D33,[1]BVAP!A$5:E$37,5,FALSE),0)</f>
        <v>50</v>
      </c>
      <c r="M33" s="388">
        <f t="shared" si="0"/>
        <v>239.5</v>
      </c>
      <c r="N33" s="389">
        <f t="shared" si="1"/>
        <v>0.68428571428571427</v>
      </c>
      <c r="O33" s="388">
        <f t="shared" si="2"/>
        <v>110.5</v>
      </c>
    </row>
    <row r="34" spans="1:15" ht="12" x14ac:dyDescent="0.3">
      <c r="A34" s="408" t="s">
        <v>279</v>
      </c>
      <c r="B34" s="407" t="s">
        <v>110</v>
      </c>
      <c r="C34" s="401">
        <v>1400</v>
      </c>
      <c r="D34" s="361">
        <v>30</v>
      </c>
      <c r="E34" s="388">
        <f>IFERROR(VLOOKUP(D34,[1]BVAP!A$4:B$29,2,FALSE),0)</f>
        <v>1917</v>
      </c>
      <c r="G34" s="388">
        <f>IFERROR(VLOOKUP(D34,[1]BVAP!A$5:C$26,3,FALSE),0)</f>
        <v>2944.9</v>
      </c>
      <c r="I34" s="388">
        <f>IFERROR(VLOOKUP(D34,[1]BVAP!A$5:D$30,4,FALSE),0)</f>
        <v>1090</v>
      </c>
      <c r="K34" s="388">
        <f>IFERROR(VLOOKUP(D34,[1]BVAP!A$5:E$37,5,FALSE),0)</f>
        <v>122.5</v>
      </c>
      <c r="M34" s="388">
        <f t="shared" si="0"/>
        <v>6074.4</v>
      </c>
      <c r="N34" s="389">
        <f t="shared" si="1"/>
        <v>4.338857142857143</v>
      </c>
      <c r="O34" s="388">
        <f t="shared" si="2"/>
        <v>-4674.3999999999996</v>
      </c>
    </row>
    <row r="35" spans="1:15" ht="12" thickBot="1" x14ac:dyDescent="0.3">
      <c r="A35" s="405" t="s">
        <v>280</v>
      </c>
      <c r="B35" s="409"/>
      <c r="C35" s="410">
        <f>SUM(C30:C34)</f>
        <v>4950</v>
      </c>
      <c r="E35" s="410">
        <f>SUM(E30:E34)</f>
        <v>2826.51</v>
      </c>
      <c r="F35" s="370"/>
      <c r="G35" s="410">
        <f>SUM(G30:G34)</f>
        <v>3924.91</v>
      </c>
      <c r="H35" s="370"/>
      <c r="I35" s="410">
        <f>SUM(I30:I34)</f>
        <v>1889.13</v>
      </c>
      <c r="J35" s="370"/>
      <c r="K35" s="410">
        <f>SUM(K30:K34)</f>
        <v>711.87</v>
      </c>
      <c r="M35" s="394">
        <f t="shared" si="0"/>
        <v>9352.42</v>
      </c>
      <c r="N35" s="395">
        <f t="shared" si="1"/>
        <v>1.8893777777777778</v>
      </c>
      <c r="O35" s="396">
        <f t="shared" si="2"/>
        <v>-4402.42</v>
      </c>
    </row>
    <row r="36" spans="1:15" ht="12" thickTop="1" x14ac:dyDescent="0.25">
      <c r="A36" s="406" t="s">
        <v>281</v>
      </c>
      <c r="B36" s="407"/>
      <c r="C36" s="387"/>
      <c r="E36" s="388"/>
      <c r="G36" s="388"/>
      <c r="I36" s="388"/>
      <c r="K36" s="388"/>
      <c r="M36" s="388">
        <f t="shared" si="0"/>
        <v>0</v>
      </c>
      <c r="N36" s="389"/>
      <c r="O36" s="388">
        <f t="shared" si="2"/>
        <v>0</v>
      </c>
    </row>
    <row r="37" spans="1:15" ht="12" x14ac:dyDescent="0.3">
      <c r="A37" s="408" t="s">
        <v>282</v>
      </c>
      <c r="B37" s="407" t="s">
        <v>91</v>
      </c>
      <c r="C37" s="401">
        <v>1100</v>
      </c>
      <c r="D37" s="361">
        <v>31</v>
      </c>
      <c r="E37" s="388">
        <f>IFERROR(VLOOKUP(D37,[1]BVAP!A$4:B$29,2,FALSE),0)</f>
        <v>338.23</v>
      </c>
      <c r="G37" s="388">
        <f>IFERROR(VLOOKUP(D37,[1]BVAP!A$5:C$26,3,FALSE),0)</f>
        <v>252.7</v>
      </c>
      <c r="I37" s="388">
        <f>IFERROR(VLOOKUP(D37,[1]BVAP!A$5:D$30,4,FALSE),0)</f>
        <v>290.10000000000002</v>
      </c>
      <c r="K37" s="388">
        <f>IFERROR(VLOOKUP(D37,[1]BVAP!A$5:E$37,5,FALSE),0)</f>
        <v>252.89999999999998</v>
      </c>
      <c r="M37" s="388">
        <f t="shared" si="0"/>
        <v>1133.93</v>
      </c>
      <c r="N37" s="389">
        <f t="shared" si="1"/>
        <v>1.0308454545454546</v>
      </c>
      <c r="O37" s="388">
        <f t="shared" si="2"/>
        <v>-33.930000000000064</v>
      </c>
    </row>
    <row r="38" spans="1:15" ht="12" thickBot="1" x14ac:dyDescent="0.3">
      <c r="A38" s="405" t="s">
        <v>283</v>
      </c>
      <c r="B38" s="411"/>
      <c r="C38" s="410">
        <f>SUM(C37:C37)</f>
        <v>1100</v>
      </c>
      <c r="E38" s="410">
        <f>SUM(E37:E37)</f>
        <v>338.23</v>
      </c>
      <c r="G38" s="410">
        <f>SUM(G37:G37)</f>
        <v>252.7</v>
      </c>
      <c r="I38" s="410">
        <f>SUM(I37:I37)</f>
        <v>290.10000000000002</v>
      </c>
      <c r="K38" s="410">
        <f>SUM(K37:K37)</f>
        <v>252.89999999999998</v>
      </c>
      <c r="M38" s="394">
        <f t="shared" si="0"/>
        <v>1133.93</v>
      </c>
      <c r="N38" s="395">
        <f t="shared" si="1"/>
        <v>1.0308454545454546</v>
      </c>
      <c r="O38" s="396">
        <f t="shared" si="2"/>
        <v>-33.930000000000064</v>
      </c>
    </row>
    <row r="39" spans="1:15" ht="12" thickTop="1" x14ac:dyDescent="0.25">
      <c r="A39" s="406" t="s">
        <v>284</v>
      </c>
      <c r="B39" s="407"/>
      <c r="C39" s="387"/>
      <c r="E39" s="388"/>
      <c r="G39" s="388"/>
      <c r="I39" s="388"/>
      <c r="K39" s="388"/>
      <c r="M39" s="388">
        <f t="shared" si="0"/>
        <v>0</v>
      </c>
      <c r="N39" s="389"/>
      <c r="O39" s="388">
        <f t="shared" si="2"/>
        <v>0</v>
      </c>
    </row>
    <row r="40" spans="1:15" ht="12" x14ac:dyDescent="0.3">
      <c r="A40" s="408" t="s">
        <v>285</v>
      </c>
      <c r="B40" s="407" t="s">
        <v>104</v>
      </c>
      <c r="C40" s="401">
        <v>550</v>
      </c>
      <c r="D40" s="361">
        <v>36</v>
      </c>
      <c r="E40" s="388">
        <f>IFERROR(VLOOKUP(D40,[1]BVAP!A$4:B$29,2,FALSE),0)</f>
        <v>543.24</v>
      </c>
      <c r="G40" s="388">
        <f>IFERROR(VLOOKUP(D40,[1]BVAP!A$5:C$26,3,FALSE),0)</f>
        <v>0</v>
      </c>
      <c r="I40" s="388">
        <f>IFERROR(VLOOKUP(D40,[1]BVAP!A$5:D$30,4,FALSE),0)</f>
        <v>0</v>
      </c>
      <c r="K40" s="388">
        <f>IFERROR(VLOOKUP(D40,[1]BVAP!A$5:E$37,5,FALSE),0)</f>
        <v>0</v>
      </c>
      <c r="M40" s="388">
        <f t="shared" si="0"/>
        <v>543.24</v>
      </c>
      <c r="N40" s="389">
        <f t="shared" si="1"/>
        <v>0.98770909090909098</v>
      </c>
      <c r="O40" s="388">
        <f t="shared" si="2"/>
        <v>6.7599999999999909</v>
      </c>
    </row>
    <row r="41" spans="1:15" ht="12" x14ac:dyDescent="0.3">
      <c r="A41" s="408" t="s">
        <v>286</v>
      </c>
      <c r="B41" s="407" t="s">
        <v>287</v>
      </c>
      <c r="C41" s="401">
        <v>8</v>
      </c>
      <c r="D41" s="361">
        <v>37</v>
      </c>
      <c r="E41" s="388">
        <f>IFERROR(VLOOKUP(D41,[1]BVAP!A$4:B$29,2,FALSE),0)</f>
        <v>0</v>
      </c>
      <c r="G41" s="388">
        <f>IFERROR(VLOOKUP(D41,[1]BVAP!A$5:C$26,3,FALSE),0)</f>
        <v>0</v>
      </c>
      <c r="I41" s="388">
        <f>IFERROR(VLOOKUP(D41,[1]BVAP!A$5:D$30,4,FALSE),0)</f>
        <v>0</v>
      </c>
      <c r="K41" s="388">
        <f>IFERROR(VLOOKUP(D41,[1]BVAP!A$5:E$37,5,FALSE),0)</f>
        <v>0</v>
      </c>
      <c r="M41" s="388">
        <f t="shared" si="0"/>
        <v>0</v>
      </c>
      <c r="N41" s="389">
        <f t="shared" si="1"/>
        <v>0</v>
      </c>
      <c r="O41" s="388">
        <f t="shared" si="2"/>
        <v>8</v>
      </c>
    </row>
    <row r="42" spans="1:15" ht="12" x14ac:dyDescent="0.3">
      <c r="A42" s="408" t="s">
        <v>288</v>
      </c>
      <c r="B42" s="407" t="s">
        <v>289</v>
      </c>
      <c r="C42" s="401">
        <v>20</v>
      </c>
      <c r="D42" s="361">
        <v>38</v>
      </c>
      <c r="E42" s="388">
        <f>IFERROR(VLOOKUP(D42,[1]BVAP!A$4:B$29,2,FALSE),0)</f>
        <v>0</v>
      </c>
      <c r="G42" s="388">
        <f>IFERROR(VLOOKUP(D42,[1]BVAP!A$5:C$26,3,FALSE),0)</f>
        <v>0</v>
      </c>
      <c r="I42" s="388">
        <f>IFERROR(VLOOKUP(D42,[1]BVAP!A$5:D$30,4,FALSE),0)</f>
        <v>0</v>
      </c>
      <c r="K42" s="388">
        <f>IFERROR(VLOOKUP(D42,[1]BVAP!A$5:E$37,5,FALSE),0)</f>
        <v>0</v>
      </c>
      <c r="M42" s="388">
        <f t="shared" si="0"/>
        <v>0</v>
      </c>
      <c r="N42" s="389">
        <f t="shared" si="1"/>
        <v>0</v>
      </c>
      <c r="O42" s="388">
        <f t="shared" si="2"/>
        <v>20</v>
      </c>
    </row>
    <row r="43" spans="1:15" ht="12" x14ac:dyDescent="0.3">
      <c r="A43" s="408" t="s">
        <v>290</v>
      </c>
      <c r="B43" s="407" t="s">
        <v>291</v>
      </c>
      <c r="C43" s="401">
        <v>20</v>
      </c>
      <c r="D43" s="361">
        <v>39</v>
      </c>
      <c r="E43" s="388">
        <f>IFERROR(VLOOKUP(D43,[1]BVAP!A$4:B$29,2,FALSE),0)</f>
        <v>0</v>
      </c>
      <c r="G43" s="388">
        <f>IFERROR(VLOOKUP(D43,[1]BVAP!A$5:C$26,3,FALSE),0)</f>
        <v>0</v>
      </c>
      <c r="I43" s="388">
        <f>IFERROR(VLOOKUP(D43,[1]BVAP!A$5:D$30,4,FALSE),0)</f>
        <v>0</v>
      </c>
      <c r="K43" s="388">
        <f>IFERROR(VLOOKUP(D43,[1]BVAP!A$5:E$37,5,FALSE),0)</f>
        <v>0</v>
      </c>
      <c r="M43" s="388">
        <f t="shared" si="0"/>
        <v>0</v>
      </c>
      <c r="N43" s="389">
        <f t="shared" si="1"/>
        <v>0</v>
      </c>
      <c r="O43" s="388">
        <f t="shared" si="2"/>
        <v>20</v>
      </c>
    </row>
    <row r="44" spans="1:15" ht="12" x14ac:dyDescent="0.3">
      <c r="A44" s="408" t="s">
        <v>31</v>
      </c>
      <c r="B44" s="407" t="s">
        <v>292</v>
      </c>
      <c r="C44" s="401">
        <v>20</v>
      </c>
      <c r="D44" s="361">
        <v>40</v>
      </c>
      <c r="E44" s="388">
        <f>IFERROR(VLOOKUP(D44,[1]BVAP!A$4:B$29,2,FALSE),0)</f>
        <v>0</v>
      </c>
      <c r="G44" s="388">
        <f>IFERROR(VLOOKUP(D44,[1]BVAP!A$5:C$26,3,FALSE),0)</f>
        <v>0</v>
      </c>
      <c r="I44" s="388">
        <f>IFERROR(VLOOKUP(D44,[1]BVAP!A$5:D$30,4,FALSE),0)</f>
        <v>0</v>
      </c>
      <c r="K44" s="388">
        <f>IFERROR(VLOOKUP(D44,[1]BVAP!A$5:E$37,5,FALSE),0)</f>
        <v>0</v>
      </c>
      <c r="M44" s="388">
        <f t="shared" si="0"/>
        <v>0</v>
      </c>
      <c r="N44" s="389">
        <f t="shared" si="1"/>
        <v>0</v>
      </c>
      <c r="O44" s="388">
        <f t="shared" si="2"/>
        <v>20</v>
      </c>
    </row>
    <row r="45" spans="1:15" ht="12" thickBot="1" x14ac:dyDescent="0.3">
      <c r="A45" s="405" t="s">
        <v>293</v>
      </c>
      <c r="B45" s="409"/>
      <c r="C45" s="410">
        <f>SUM(C40:C44)</f>
        <v>618</v>
      </c>
      <c r="E45" s="410">
        <f>SUM(E40:E44)</f>
        <v>543.24</v>
      </c>
      <c r="G45" s="410">
        <f>SUM(G40:G44)</f>
        <v>0</v>
      </c>
      <c r="I45" s="410">
        <f>SUM(I40:I44)</f>
        <v>0</v>
      </c>
      <c r="K45" s="410">
        <f>SUM(K40:K44)</f>
        <v>0</v>
      </c>
      <c r="M45" s="394">
        <f t="shared" si="0"/>
        <v>543.24</v>
      </c>
      <c r="N45" s="395">
        <f t="shared" si="1"/>
        <v>0.87902912621359219</v>
      </c>
      <c r="O45" s="396">
        <f t="shared" si="2"/>
        <v>74.759999999999991</v>
      </c>
    </row>
    <row r="46" spans="1:15" ht="12" thickTop="1" x14ac:dyDescent="0.25">
      <c r="A46" s="412" t="s">
        <v>294</v>
      </c>
      <c r="B46" s="413"/>
      <c r="C46" s="387"/>
      <c r="E46" s="388"/>
      <c r="G46" s="388"/>
      <c r="I46" s="388"/>
      <c r="K46" s="388"/>
      <c r="M46" s="388">
        <f t="shared" si="0"/>
        <v>0</v>
      </c>
      <c r="N46" s="389"/>
      <c r="O46" s="388">
        <f t="shared" si="2"/>
        <v>0</v>
      </c>
    </row>
    <row r="47" spans="1:15" ht="12" x14ac:dyDescent="0.3">
      <c r="A47" s="408" t="s">
        <v>295</v>
      </c>
      <c r="B47" s="407" t="s">
        <v>101</v>
      </c>
      <c r="C47" s="401">
        <v>1545</v>
      </c>
      <c r="D47" s="361">
        <v>41</v>
      </c>
      <c r="E47" s="388">
        <f>IFERROR(VLOOKUP(D47,[1]BVAP!A$4:B$29,2,FALSE),0)</f>
        <v>310</v>
      </c>
      <c r="G47" s="388">
        <f>IFERROR(VLOOKUP(D47,[1]BVAP!A$5:C$26,3,FALSE),0)</f>
        <v>0</v>
      </c>
      <c r="I47" s="388">
        <f>IFERROR(VLOOKUP(D47,[1]BVAP!A$5:D$30,4,FALSE),0)</f>
        <v>750</v>
      </c>
      <c r="K47" s="388">
        <f>IFERROR(VLOOKUP(D47,[1]BVAP!A$5:E$37,5,FALSE),0)</f>
        <v>167.75</v>
      </c>
      <c r="M47" s="388">
        <f t="shared" si="0"/>
        <v>1227.75</v>
      </c>
      <c r="N47" s="389">
        <f t="shared" si="1"/>
        <v>0.79466019417475731</v>
      </c>
      <c r="O47" s="388">
        <f t="shared" si="2"/>
        <v>317.25</v>
      </c>
    </row>
    <row r="48" spans="1:15" ht="12" x14ac:dyDescent="0.3">
      <c r="A48" s="414" t="s">
        <v>296</v>
      </c>
      <c r="B48" s="407" t="s">
        <v>164</v>
      </c>
      <c r="C48" s="401">
        <v>1600</v>
      </c>
      <c r="D48" s="361">
        <v>42</v>
      </c>
      <c r="E48" s="388">
        <f>IFERROR(VLOOKUP(D48,[1]BVAP!A$4:B$29,2,FALSE),0)</f>
        <v>0</v>
      </c>
      <c r="G48" s="388">
        <f>IFERROR(VLOOKUP(D48,[1]BVAP!A$5:C$26,3,FALSE),0)</f>
        <v>0</v>
      </c>
      <c r="I48" s="388">
        <f>IFERROR(VLOOKUP(D48,[1]BVAP!A$5:D$33,4,FALSE),0)</f>
        <v>2000</v>
      </c>
      <c r="K48" s="388">
        <f>IFERROR(VLOOKUP(D48,[1]BVAP!A$5:E$37,5,FALSE),0)</f>
        <v>0</v>
      </c>
      <c r="M48" s="388">
        <f t="shared" si="0"/>
        <v>2000</v>
      </c>
      <c r="N48" s="389">
        <f t="shared" si="1"/>
        <v>1.25</v>
      </c>
      <c r="O48" s="388">
        <f t="shared" si="2"/>
        <v>-400</v>
      </c>
    </row>
    <row r="49" spans="1:15" ht="12" thickBot="1" x14ac:dyDescent="0.3">
      <c r="A49" s="405" t="s">
        <v>297</v>
      </c>
      <c r="B49" s="409"/>
      <c r="C49" s="410">
        <f>SUM(C47:C48)</f>
        <v>3145</v>
      </c>
      <c r="E49" s="410">
        <f>SUM(E47:E48)</f>
        <v>310</v>
      </c>
      <c r="F49" s="370"/>
      <c r="G49" s="410">
        <f>SUM(G47:G48)</f>
        <v>0</v>
      </c>
      <c r="H49" s="370"/>
      <c r="I49" s="410">
        <f>SUM(I47:I48)</f>
        <v>2750</v>
      </c>
      <c r="J49" s="370"/>
      <c r="K49" s="410">
        <f>SUM(K47:K48)</f>
        <v>167.75</v>
      </c>
      <c r="M49" s="394">
        <f t="shared" si="0"/>
        <v>3227.75</v>
      </c>
      <c r="N49" s="395">
        <f t="shared" si="1"/>
        <v>1.0263116057233703</v>
      </c>
      <c r="O49" s="396">
        <f t="shared" si="2"/>
        <v>-82.75</v>
      </c>
    </row>
    <row r="50" spans="1:15" ht="12" thickTop="1" x14ac:dyDescent="0.25">
      <c r="A50" s="406" t="s">
        <v>298</v>
      </c>
      <c r="B50" s="386"/>
      <c r="C50" s="401"/>
      <c r="E50" s="388"/>
      <c r="G50" s="388"/>
      <c r="I50" s="388"/>
      <c r="K50" s="388"/>
      <c r="M50" s="388">
        <f t="shared" si="0"/>
        <v>0</v>
      </c>
      <c r="N50" s="389"/>
      <c r="O50" s="388">
        <f t="shared" si="2"/>
        <v>0</v>
      </c>
    </row>
    <row r="51" spans="1:15" x14ac:dyDescent="0.25">
      <c r="A51" s="400" t="s">
        <v>299</v>
      </c>
      <c r="B51" s="386" t="s">
        <v>178</v>
      </c>
      <c r="C51" s="401">
        <v>2300</v>
      </c>
      <c r="D51" s="361">
        <v>43</v>
      </c>
      <c r="E51" s="388">
        <f>IFERROR(VLOOKUP(D51,[1]BVAP!A$4:B$29,2,FALSE),0)</f>
        <v>0</v>
      </c>
      <c r="G51" s="388">
        <f>IFERROR(VLOOKUP(D51,[1]BVAP!A$5:C$26,3,FALSE),0)</f>
        <v>0</v>
      </c>
      <c r="I51" s="388">
        <f>IFERROR(VLOOKUP(D51,[1]BVAP!A$5:D$33,4,FALSE),0)</f>
        <v>0</v>
      </c>
      <c r="K51" s="388">
        <f>IFERROR(VLOOKUP(D51,[1]BVAP!A$5:E$37,5,FALSE),0)</f>
        <v>2325</v>
      </c>
      <c r="M51" s="388">
        <f t="shared" si="0"/>
        <v>2325</v>
      </c>
      <c r="N51" s="389">
        <f t="shared" si="1"/>
        <v>1.0108695652173914</v>
      </c>
      <c r="O51" s="388">
        <f t="shared" si="2"/>
        <v>-25</v>
      </c>
    </row>
    <row r="52" spans="1:15" x14ac:dyDescent="0.25">
      <c r="A52" s="400" t="s">
        <v>300</v>
      </c>
      <c r="B52" s="386" t="s">
        <v>66</v>
      </c>
      <c r="C52" s="401">
        <v>11</v>
      </c>
      <c r="D52" s="361">
        <v>44</v>
      </c>
      <c r="E52" s="388">
        <f>IFERROR(VLOOKUP(D52,[1]BVAP!A$4:B$29,2,FALSE),0)</f>
        <v>12.73</v>
      </c>
      <c r="G52" s="388">
        <f>IFERROR(VLOOKUP(D52,[1]BVAP!A$5:C$29,3,FALSE),0)</f>
        <v>0</v>
      </c>
      <c r="I52" s="388">
        <f>IFERROR(VLOOKUP(D52,[1]BVAP!A$5:D$33,4,FALSE),0)</f>
        <v>0</v>
      </c>
      <c r="K52" s="388">
        <f>IFERROR(VLOOKUP(D52,[1]BVAP!A$5:E$37,5,FALSE),0)</f>
        <v>0</v>
      </c>
      <c r="M52" s="388">
        <f t="shared" si="0"/>
        <v>12.73</v>
      </c>
      <c r="N52" s="389">
        <f t="shared" si="1"/>
        <v>1.1572727272727272</v>
      </c>
      <c r="O52" s="388">
        <f t="shared" si="2"/>
        <v>-1.7300000000000004</v>
      </c>
    </row>
    <row r="53" spans="1:15" x14ac:dyDescent="0.25">
      <c r="A53" s="400" t="s">
        <v>301</v>
      </c>
      <c r="B53" s="386" t="s">
        <v>166</v>
      </c>
      <c r="C53" s="401">
        <v>800</v>
      </c>
      <c r="D53" s="361">
        <v>45</v>
      </c>
      <c r="E53" s="388">
        <f>IFERROR(VLOOKUP(D53,[1]BVAP!A$4:B$29,2,FALSE),0)</f>
        <v>0</v>
      </c>
      <c r="G53" s="388">
        <f>IFERROR(VLOOKUP(D53,[1]BVAP!A$5:C$29,3,FALSE),0)</f>
        <v>0</v>
      </c>
      <c r="I53" s="388">
        <f>IFERROR(VLOOKUP(D53,[1]BVAP!A$5:D$33,4,FALSE),0)</f>
        <v>254.57</v>
      </c>
      <c r="K53" s="388">
        <f>IFERROR(VLOOKUP(D53,[1]BVAP!A$5:E$37,5,FALSE),0)</f>
        <v>0</v>
      </c>
      <c r="M53" s="388">
        <f t="shared" si="0"/>
        <v>254.57</v>
      </c>
      <c r="N53" s="389">
        <f t="shared" si="1"/>
        <v>0.31821250000000001</v>
      </c>
      <c r="O53" s="388">
        <f t="shared" si="2"/>
        <v>545.43000000000006</v>
      </c>
    </row>
    <row r="54" spans="1:15" ht="12" thickBot="1" x14ac:dyDescent="0.3">
      <c r="A54" s="405" t="s">
        <v>302</v>
      </c>
      <c r="B54" s="409"/>
      <c r="C54" s="410">
        <f>SUM(C51:C53)</f>
        <v>3111</v>
      </c>
      <c r="E54" s="410">
        <f>SUM(E51:E53)</f>
        <v>12.73</v>
      </c>
      <c r="F54" s="370"/>
      <c r="G54" s="410">
        <f>SUM(G51:G53)</f>
        <v>0</v>
      </c>
      <c r="H54" s="410">
        <f>SUM(H51:H53)</f>
        <v>0</v>
      </c>
      <c r="I54" s="410">
        <f>SUM(I51:I53)</f>
        <v>254.57</v>
      </c>
      <c r="J54" s="370"/>
      <c r="K54" s="410">
        <f>SUM(K51:K53)</f>
        <v>2325</v>
      </c>
      <c r="M54" s="394">
        <f t="shared" si="0"/>
        <v>2592.3000000000002</v>
      </c>
      <c r="N54" s="395">
        <f t="shared" si="1"/>
        <v>0.83326904532304735</v>
      </c>
      <c r="O54" s="396">
        <f t="shared" si="2"/>
        <v>518.69999999999982</v>
      </c>
    </row>
    <row r="55" spans="1:15" ht="12" thickTop="1" x14ac:dyDescent="0.25">
      <c r="A55" s="412" t="s">
        <v>303</v>
      </c>
      <c r="B55" s="413"/>
      <c r="C55" s="387"/>
      <c r="E55" s="388"/>
      <c r="G55" s="388"/>
      <c r="I55" s="388"/>
      <c r="K55" s="388"/>
      <c r="M55" s="388">
        <f t="shared" si="0"/>
        <v>0</v>
      </c>
      <c r="N55" s="389"/>
      <c r="O55" s="388">
        <f t="shared" si="2"/>
        <v>0</v>
      </c>
    </row>
    <row r="56" spans="1:15" ht="12" x14ac:dyDescent="0.3">
      <c r="A56" s="408" t="s">
        <v>304</v>
      </c>
      <c r="B56" s="407" t="s">
        <v>57</v>
      </c>
      <c r="C56" s="401">
        <v>300</v>
      </c>
      <c r="D56" s="361">
        <v>46</v>
      </c>
      <c r="E56" s="388">
        <f>IFERROR(VLOOKUP(D56,[1]BVAP!A$4:B$29,2,FALSE),0)</f>
        <v>294.08</v>
      </c>
      <c r="G56" s="388">
        <f>IFERROR(VLOOKUP(D56,[1]BVAP!A$5:C$29,3,FALSE),0)</f>
        <v>322.33999999999997</v>
      </c>
      <c r="I56" s="388">
        <f>IFERROR(VLOOKUP(D56,[1]BVAP!A$5:D$33,4,FALSE),0)</f>
        <v>216.03</v>
      </c>
      <c r="K56" s="388">
        <f>IFERROR(VLOOKUP(D56,[1]BVAP!A$5:E$37,5,FALSE),0)</f>
        <v>100</v>
      </c>
      <c r="M56" s="388">
        <f t="shared" si="0"/>
        <v>932.44999999999993</v>
      </c>
      <c r="N56" s="389">
        <f t="shared" si="1"/>
        <v>3.1081666666666665</v>
      </c>
      <c r="O56" s="388">
        <f t="shared" si="2"/>
        <v>-632.44999999999993</v>
      </c>
    </row>
    <row r="57" spans="1:15" ht="12" thickBot="1" x14ac:dyDescent="0.3">
      <c r="A57" s="392" t="s">
        <v>305</v>
      </c>
      <c r="B57" s="415"/>
      <c r="C57" s="393">
        <f>SUM(C55:C56)</f>
        <v>300</v>
      </c>
      <c r="E57" s="393">
        <f>SUM(E55:E56)</f>
        <v>294.08</v>
      </c>
      <c r="F57" s="370"/>
      <c r="G57" s="393">
        <f>SUM(G55:G56)</f>
        <v>322.33999999999997</v>
      </c>
      <c r="H57" s="370"/>
      <c r="I57" s="393">
        <f>SUM(I55:I56)</f>
        <v>216.03</v>
      </c>
      <c r="J57" s="370"/>
      <c r="K57" s="393">
        <f>SUM(K55:K56)</f>
        <v>100</v>
      </c>
      <c r="M57" s="416">
        <f t="shared" si="0"/>
        <v>932.44999999999993</v>
      </c>
      <c r="N57" s="417">
        <f t="shared" si="1"/>
        <v>3.1081666666666665</v>
      </c>
      <c r="O57" s="418">
        <f t="shared" si="2"/>
        <v>-632.44999999999993</v>
      </c>
    </row>
    <row r="58" spans="1:15" ht="12" thickBot="1" x14ac:dyDescent="0.3">
      <c r="A58" s="419" t="s">
        <v>306</v>
      </c>
      <c r="B58" s="420"/>
      <c r="C58" s="421">
        <f>SUM(C57+C54+C49+C45+C38+C35+C28+C10)</f>
        <v>25471</v>
      </c>
      <c r="D58" s="422"/>
      <c r="E58" s="421">
        <f t="shared" ref="E58:O58" si="3">SUM(E57+E54+E49+E45+E38+E35+E28+E10)</f>
        <v>7509.75</v>
      </c>
      <c r="F58" s="423"/>
      <c r="G58" s="421">
        <f t="shared" si="3"/>
        <v>8314.06</v>
      </c>
      <c r="H58" s="423">
        <f t="shared" si="3"/>
        <v>0</v>
      </c>
      <c r="I58" s="421">
        <f t="shared" si="3"/>
        <v>8385.43</v>
      </c>
      <c r="J58" s="423">
        <f t="shared" si="3"/>
        <v>0</v>
      </c>
      <c r="K58" s="424">
        <f t="shared" si="3"/>
        <v>6389.4</v>
      </c>
      <c r="L58" s="425"/>
      <c r="M58" s="426">
        <f t="shared" si="3"/>
        <v>30598.639999999999</v>
      </c>
      <c r="N58" s="421">
        <f t="shared" si="3"/>
        <v>10.911397194572421</v>
      </c>
      <c r="O58" s="421">
        <f t="shared" si="3"/>
        <v>-5127.6400000000003</v>
      </c>
    </row>
    <row r="59" spans="1:15" ht="12" thickBot="1" x14ac:dyDescent="0.3">
      <c r="A59" s="427"/>
      <c r="B59" s="428"/>
      <c r="C59" s="429"/>
      <c r="M59" s="362"/>
      <c r="N59" s="430"/>
      <c r="O59" s="362"/>
    </row>
    <row r="60" spans="1:15" x14ac:dyDescent="0.25">
      <c r="A60" s="431" t="s">
        <v>307</v>
      </c>
      <c r="B60" s="432"/>
      <c r="C60" s="433"/>
      <c r="D60" s="434"/>
      <c r="E60" s="435"/>
      <c r="F60" s="436"/>
      <c r="G60" s="435"/>
      <c r="H60" s="436"/>
      <c r="I60" s="435"/>
      <c r="J60" s="436"/>
      <c r="K60" s="435"/>
      <c r="L60" s="434"/>
      <c r="M60" s="435"/>
      <c r="N60" s="437"/>
      <c r="O60" s="438"/>
    </row>
    <row r="61" spans="1:15" x14ac:dyDescent="0.25">
      <c r="A61" s="439" t="s">
        <v>308</v>
      </c>
      <c r="B61" s="440" t="s">
        <v>130</v>
      </c>
      <c r="C61" s="401">
        <f>12000-1164.83</f>
        <v>10835.17</v>
      </c>
      <c r="D61" s="361">
        <v>47</v>
      </c>
      <c r="E61" s="388">
        <f>IFERROR(VLOOKUP(D61,[1]BVAP!A$4:B$29,2,FALSE),0)</f>
        <v>0</v>
      </c>
      <c r="G61" s="388">
        <f>IFERROR(VLOOKUP(D61,[1]BVAP!A$5:C$29,3,FALSE),0)</f>
        <v>4572.84</v>
      </c>
      <c r="I61" s="388">
        <f>IFERROR(VLOOKUP(D61,[1]BVAP!A$5:D$33,4,FALSE),0)</f>
        <v>5930</v>
      </c>
      <c r="K61" s="388">
        <f>IFERROR(VLOOKUP(D61,[1]BVAP!A$5:E$37,5,FALSE),0)</f>
        <v>58</v>
      </c>
      <c r="M61" s="388">
        <f t="shared" si="0"/>
        <v>10560.84</v>
      </c>
      <c r="N61" s="389">
        <f t="shared" si="1"/>
        <v>0.9746815232248317</v>
      </c>
      <c r="O61" s="441">
        <f t="shared" si="2"/>
        <v>274.32999999999993</v>
      </c>
    </row>
    <row r="62" spans="1:15" x14ac:dyDescent="0.25">
      <c r="A62" s="439" t="s">
        <v>309</v>
      </c>
      <c r="B62" s="440" t="s">
        <v>310</v>
      </c>
      <c r="C62" s="401">
        <v>18504</v>
      </c>
      <c r="D62" s="361">
        <v>48</v>
      </c>
      <c r="E62" s="388">
        <f>IFERROR(VLOOKUP(D62,[1]BVAP!A$4:B$29,2,FALSE),0)</f>
        <v>0</v>
      </c>
      <c r="G62" s="388">
        <f>IFERROR(VLOOKUP(D62,[1]BVAP!A$5:C$26,3,FALSE),0)</f>
        <v>0</v>
      </c>
      <c r="I62" s="388">
        <f>IFERROR(VLOOKUP(D62,[1]BVAP!A$5:D$30,4,FALSE),0)</f>
        <v>0</v>
      </c>
      <c r="K62" s="388">
        <f>IFERROR(VLOOKUP(D62,[1]BVAP!A$5:E$37,5,FALSE),0)</f>
        <v>0</v>
      </c>
      <c r="M62" s="388">
        <f t="shared" si="0"/>
        <v>0</v>
      </c>
      <c r="N62" s="389">
        <f t="shared" si="1"/>
        <v>0</v>
      </c>
      <c r="O62" s="441">
        <f t="shared" si="2"/>
        <v>18504</v>
      </c>
    </row>
    <row r="63" spans="1:15" x14ac:dyDescent="0.25">
      <c r="A63" s="442" t="s">
        <v>311</v>
      </c>
      <c r="B63" s="443"/>
      <c r="C63" s="444">
        <f>SUM(C60:C62)</f>
        <v>29339.17</v>
      </c>
      <c r="E63" s="444">
        <f>SUM(E60:E62)</f>
        <v>0</v>
      </c>
      <c r="F63" s="370"/>
      <c r="G63" s="444">
        <f>SUM(G60:G62)</f>
        <v>4572.84</v>
      </c>
      <c r="H63" s="370"/>
      <c r="I63" s="444">
        <f>SUM(I60:I62)</f>
        <v>5930</v>
      </c>
      <c r="J63" s="370"/>
      <c r="K63" s="444">
        <f>SUM(K60:K62)</f>
        <v>58</v>
      </c>
      <c r="M63" s="394">
        <f t="shared" si="0"/>
        <v>10560.84</v>
      </c>
      <c r="N63" s="395">
        <f t="shared" si="1"/>
        <v>0.3599570130988709</v>
      </c>
      <c r="O63" s="445">
        <f t="shared" si="2"/>
        <v>18778.329999999998</v>
      </c>
    </row>
    <row r="64" spans="1:15" x14ac:dyDescent="0.25">
      <c r="A64" s="446"/>
      <c r="B64" s="447"/>
      <c r="C64" s="387"/>
      <c r="E64" s="388"/>
      <c r="G64" s="388"/>
      <c r="I64" s="388"/>
      <c r="K64" s="388"/>
      <c r="M64" s="388">
        <f t="shared" si="0"/>
        <v>0</v>
      </c>
      <c r="N64" s="389"/>
      <c r="O64" s="441">
        <f t="shared" si="2"/>
        <v>0</v>
      </c>
    </row>
    <row r="65" spans="1:15" x14ac:dyDescent="0.25">
      <c r="A65" s="448" t="s">
        <v>312</v>
      </c>
      <c r="B65" s="449"/>
      <c r="C65" s="450"/>
      <c r="E65" s="451"/>
      <c r="G65" s="451"/>
      <c r="I65" s="451"/>
      <c r="K65" s="451"/>
      <c r="M65" s="451">
        <f t="shared" si="0"/>
        <v>0</v>
      </c>
      <c r="N65" s="452"/>
      <c r="O65" s="445">
        <f t="shared" si="2"/>
        <v>0</v>
      </c>
    </row>
    <row r="66" spans="1:15" x14ac:dyDescent="0.25">
      <c r="A66" s="453" t="s">
        <v>313</v>
      </c>
      <c r="B66" s="454"/>
      <c r="C66" s="387"/>
      <c r="E66" s="388"/>
      <c r="G66" s="388"/>
      <c r="I66" s="388"/>
      <c r="K66" s="388"/>
      <c r="M66" s="388">
        <f t="shared" si="0"/>
        <v>0</v>
      </c>
      <c r="N66" s="389"/>
      <c r="O66" s="441">
        <f t="shared" si="2"/>
        <v>0</v>
      </c>
    </row>
    <row r="67" spans="1:15" ht="12" x14ac:dyDescent="0.3">
      <c r="A67" s="455" t="s">
        <v>314</v>
      </c>
      <c r="B67" s="386" t="s">
        <v>147</v>
      </c>
      <c r="C67" s="456">
        <f>'[1]Ledger Receipts'!M7-'Budget Vs Actual'!C63</f>
        <v>19465.900000000001</v>
      </c>
      <c r="D67" s="361">
        <v>49</v>
      </c>
      <c r="E67" s="388">
        <f>IFERROR(VLOOKUP(D67,[1]BVAP!A$4:B$29,2,FALSE),0)</f>
        <v>0</v>
      </c>
      <c r="G67" s="388">
        <f>IFERROR(VLOOKUP(D67,[1]BVAP!A$5:C$29,3,FALSE),0)</f>
        <v>0</v>
      </c>
      <c r="I67" s="388">
        <f>IFERROR(VLOOKUP(D67,[1]BVAP!A$5:D$33,4,FALSE),0)</f>
        <v>198.14</v>
      </c>
      <c r="K67" s="388">
        <f>IFERROR(VLOOKUP(D67,[1]BVAP!A$5:E$37,5,FALSE),0)</f>
        <v>0</v>
      </c>
      <c r="M67" s="388">
        <f t="shared" si="0"/>
        <v>198.14</v>
      </c>
      <c r="N67" s="389"/>
      <c r="O67" s="441">
        <f t="shared" si="2"/>
        <v>19267.760000000002</v>
      </c>
    </row>
    <row r="68" spans="1:15" ht="12" x14ac:dyDescent="0.3">
      <c r="A68" s="455"/>
      <c r="B68" s="386"/>
      <c r="C68" s="456"/>
      <c r="E68" s="388"/>
      <c r="G68" s="388"/>
      <c r="I68" s="388"/>
      <c r="K68" s="388"/>
      <c r="M68" s="388">
        <f t="shared" si="0"/>
        <v>0</v>
      </c>
      <c r="N68" s="389"/>
      <c r="O68" s="441">
        <f t="shared" si="2"/>
        <v>0</v>
      </c>
    </row>
    <row r="69" spans="1:15" ht="12" thickBot="1" x14ac:dyDescent="0.3">
      <c r="A69" s="457" t="s">
        <v>315</v>
      </c>
      <c r="B69" s="409"/>
      <c r="C69" s="410">
        <f>SUM(C66:C67)</f>
        <v>19465.900000000001</v>
      </c>
      <c r="E69" s="410">
        <f>SUM(E66:E67)</f>
        <v>0</v>
      </c>
      <c r="G69" s="410">
        <f>SUM(G66:G67)</f>
        <v>0</v>
      </c>
      <c r="I69" s="410">
        <f>SUM(I66:I67)</f>
        <v>198.14</v>
      </c>
      <c r="K69" s="410">
        <f>SUM(K66:K67)</f>
        <v>0</v>
      </c>
      <c r="M69" s="451">
        <f t="shared" si="0"/>
        <v>198.14</v>
      </c>
      <c r="N69" s="395">
        <v>0</v>
      </c>
      <c r="O69" s="445">
        <f t="shared" si="2"/>
        <v>19267.760000000002</v>
      </c>
    </row>
    <row r="70" spans="1:15" ht="12.5" thickTop="1" thickBot="1" x14ac:dyDescent="0.3">
      <c r="A70" s="458" t="s">
        <v>316</v>
      </c>
      <c r="B70" s="459"/>
      <c r="C70" s="460">
        <f>C63+C69</f>
        <v>48805.07</v>
      </c>
      <c r="D70" s="461"/>
      <c r="E70" s="460">
        <f>SUM(E63+E69)</f>
        <v>0</v>
      </c>
      <c r="F70" s="462"/>
      <c r="G70" s="460">
        <f>SUM(G63+G69)</f>
        <v>4572.84</v>
      </c>
      <c r="H70" s="462"/>
      <c r="I70" s="460">
        <f>SUM(I63+I69)</f>
        <v>6128.14</v>
      </c>
      <c r="J70" s="462"/>
      <c r="K70" s="460">
        <f>SUM(K63+K69)</f>
        <v>58</v>
      </c>
      <c r="L70" s="463"/>
      <c r="M70" s="460">
        <f>SUM(M63+M69)</f>
        <v>10758.98</v>
      </c>
      <c r="N70" s="464">
        <f>SUM(N63+N69)</f>
        <v>0.3599570130988709</v>
      </c>
      <c r="O70" s="460">
        <f>SUM(O63+O69)</f>
        <v>38046.089999999997</v>
      </c>
    </row>
    <row r="71" spans="1:15" s="470" customFormat="1" x14ac:dyDescent="0.25">
      <c r="A71" s="465"/>
      <c r="B71" s="466"/>
      <c r="C71" s="467"/>
      <c r="D71" s="468"/>
      <c r="E71" s="467"/>
      <c r="F71" s="469"/>
      <c r="G71" s="467"/>
      <c r="H71" s="469"/>
      <c r="I71" s="467"/>
      <c r="J71" s="469"/>
      <c r="K71" s="467"/>
      <c r="M71" s="467"/>
      <c r="N71" s="471"/>
      <c r="O71" s="467"/>
    </row>
    <row r="72" spans="1:15" x14ac:dyDescent="0.25">
      <c r="A72" s="363" t="s">
        <v>25</v>
      </c>
      <c r="E72" s="362">
        <f>'[1]Cash book'!H43</f>
        <v>746.97</v>
      </c>
      <c r="G72" s="362">
        <f>'[1]Cash book'!H77</f>
        <v>1165.8200000000002</v>
      </c>
      <c r="I72" s="362">
        <f>'[1]Cash book'!H119</f>
        <v>1147.9299999999998</v>
      </c>
      <c r="K72" s="362">
        <f>'[1]Cash book'!H158</f>
        <v>750.15000000000009</v>
      </c>
      <c r="M72" s="362">
        <f>'[1]Cash book'!H163</f>
        <v>3810.87</v>
      </c>
      <c r="N72" s="472">
        <f>'[1]Cash book'!H163</f>
        <v>3810.87</v>
      </c>
      <c r="O72" s="362">
        <f>N72-M72</f>
        <v>0</v>
      </c>
    </row>
    <row r="73" spans="1:15" s="360" customFormat="1" x14ac:dyDescent="0.25">
      <c r="A73" s="473" t="s">
        <v>317</v>
      </c>
      <c r="B73" s="473"/>
      <c r="C73" s="473"/>
      <c r="D73" s="474"/>
      <c r="E73" s="475">
        <f>SUM(E70+E58+E72)</f>
        <v>8256.7199999999993</v>
      </c>
      <c r="F73" s="475"/>
      <c r="G73" s="475">
        <f t="shared" ref="G73:M73" si="4">SUM(G70+G58+G72)</f>
        <v>14052.72</v>
      </c>
      <c r="H73" s="475">
        <f t="shared" si="4"/>
        <v>0</v>
      </c>
      <c r="I73" s="475">
        <f t="shared" si="4"/>
        <v>15661.5</v>
      </c>
      <c r="J73" s="475">
        <f t="shared" si="4"/>
        <v>0</v>
      </c>
      <c r="K73" s="475">
        <f t="shared" si="4"/>
        <v>7197.5499999999993</v>
      </c>
      <c r="L73" s="475"/>
      <c r="M73" s="475">
        <f t="shared" si="4"/>
        <v>45168.49</v>
      </c>
      <c r="N73" s="476">
        <f>'[1]Cash book'!I163</f>
        <v>45168.490000000005</v>
      </c>
      <c r="O73" s="475">
        <f>N73-M73</f>
        <v>0</v>
      </c>
    </row>
    <row r="74" spans="1:15" x14ac:dyDescent="0.25">
      <c r="A74" s="363" t="s">
        <v>318</v>
      </c>
      <c r="E74" s="362">
        <f>E73-E72</f>
        <v>7509.7499999999991</v>
      </c>
      <c r="F74" s="362">
        <f t="shared" ref="F74:M74" si="5">F73-F72</f>
        <v>0</v>
      </c>
      <c r="G74" s="362">
        <f t="shared" si="5"/>
        <v>12886.9</v>
      </c>
      <c r="H74" s="362">
        <f t="shared" si="5"/>
        <v>0</v>
      </c>
      <c r="I74" s="362">
        <f t="shared" si="5"/>
        <v>14513.57</v>
      </c>
      <c r="J74" s="362">
        <f t="shared" si="5"/>
        <v>0</v>
      </c>
      <c r="K74" s="362">
        <f t="shared" si="5"/>
        <v>6447.4</v>
      </c>
      <c r="L74" s="362">
        <f t="shared" si="5"/>
        <v>0</v>
      </c>
      <c r="M74" s="362">
        <f t="shared" si="5"/>
        <v>41357.619999999995</v>
      </c>
      <c r="N74" s="477"/>
      <c r="O74" s="362"/>
    </row>
    <row r="75" spans="1:15" x14ac:dyDescent="0.25">
      <c r="A75" s="478" t="s">
        <v>319</v>
      </c>
      <c r="E75" s="479" t="s">
        <v>320</v>
      </c>
      <c r="M75" s="362"/>
      <c r="N75" s="480"/>
    </row>
    <row r="76" spans="1:15" x14ac:dyDescent="0.25">
      <c r="A76" s="363" t="s">
        <v>321</v>
      </c>
      <c r="B76" s="362">
        <f>'[1]Ledger Receipts'!I110</f>
        <v>4736.97</v>
      </c>
      <c r="E76" s="481" t="s">
        <v>322</v>
      </c>
      <c r="G76" s="362">
        <f>C70</f>
        <v>48805.07</v>
      </c>
      <c r="M76" s="362"/>
      <c r="N76" s="480"/>
    </row>
    <row r="77" spans="1:15" x14ac:dyDescent="0.25">
      <c r="A77" s="363" t="s">
        <v>323</v>
      </c>
      <c r="B77" s="362">
        <f>'[1]Ledger Receipts'!I111</f>
        <v>55045.14</v>
      </c>
      <c r="E77" s="481" t="s">
        <v>324</v>
      </c>
      <c r="G77" s="362">
        <f>M73</f>
        <v>45168.49</v>
      </c>
      <c r="M77" s="362"/>
      <c r="N77" s="480"/>
    </row>
    <row r="78" spans="1:15" x14ac:dyDescent="0.25">
      <c r="A78" s="363" t="s">
        <v>325</v>
      </c>
      <c r="B78" s="362">
        <f>'[1]Ledger Receipts'!I114</f>
        <v>0</v>
      </c>
      <c r="E78" s="481" t="s">
        <v>326</v>
      </c>
      <c r="G78" s="362">
        <f>'[1]Ledger Receipts'!I123</f>
        <v>56145.530000000006</v>
      </c>
      <c r="M78" s="362"/>
      <c r="N78" s="480"/>
    </row>
    <row r="79" spans="1:15" x14ac:dyDescent="0.25">
      <c r="A79" s="363" t="s">
        <v>327</v>
      </c>
      <c r="B79" s="475">
        <f>SUM(B76:B78)</f>
        <v>59782.11</v>
      </c>
      <c r="E79" s="482" t="s">
        <v>26</v>
      </c>
      <c r="F79" s="483"/>
      <c r="G79" s="475">
        <f>SUM(G76-G77+G78)</f>
        <v>59782.110000000008</v>
      </c>
      <c r="M79" s="362"/>
      <c r="N79" s="480"/>
    </row>
    <row r="80" spans="1:15" x14ac:dyDescent="0.25">
      <c r="M80" s="362"/>
      <c r="N80" s="480"/>
    </row>
    <row r="81" spans="13:14" x14ac:dyDescent="0.25">
      <c r="M81" s="362"/>
      <c r="N81" s="480"/>
    </row>
    <row r="82" spans="13:14" x14ac:dyDescent="0.25">
      <c r="M82" s="362"/>
      <c r="N82" s="480"/>
    </row>
    <row r="83" spans="13:14" x14ac:dyDescent="0.25">
      <c r="M83" s="362"/>
      <c r="N83" s="480"/>
    </row>
    <row r="84" spans="13:14" x14ac:dyDescent="0.25">
      <c r="M84" s="362"/>
      <c r="N84" s="480"/>
    </row>
    <row r="85" spans="13:14" x14ac:dyDescent="0.25">
      <c r="M85" s="362"/>
      <c r="N85" s="480"/>
    </row>
    <row r="86" spans="13:14" x14ac:dyDescent="0.25">
      <c r="M86" s="362"/>
      <c r="N86" s="480"/>
    </row>
    <row r="87" spans="13:14" x14ac:dyDescent="0.25">
      <c r="M87" s="362"/>
      <c r="N87" s="480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Cash book</vt:lpstr>
      <vt:lpstr>Variances</vt:lpstr>
      <vt:lpstr>Bank reconciliation</vt:lpstr>
      <vt:lpstr>Budget Vs Actual</vt:lpstr>
      <vt:lpstr>'Bank reconciliation'!Print_Area</vt:lpstr>
      <vt:lpstr>'Budget Vs Actual'!Print_Area</vt:lpstr>
      <vt:lpstr>'Cash book'!Print_Area</vt:lpstr>
      <vt:lpstr>Variances!Print_Area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Lyndsey Sandison</dc:creator>
  <cp:lastModifiedBy>Lyndsey Sandison</cp:lastModifiedBy>
  <dcterms:created xsi:type="dcterms:W3CDTF">2021-05-11T10:22:17Z</dcterms:created>
  <dcterms:modified xsi:type="dcterms:W3CDTF">2021-05-11T10:24:09Z</dcterms:modified>
</cp:coreProperties>
</file>